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46a37b33c5d825/workspace/business/jodiBooks BV/marketing/research/stappenplan/"/>
    </mc:Choice>
  </mc:AlternateContent>
  <xr:revisionPtr revIDLastSave="1280" documentId="11_D183CFBEB1257C2F35FE024165140A4CCB17BA47" xr6:coauthVersionLast="46" xr6:coauthVersionMax="46" xr10:uidLastSave="{38BFCE13-A294-4ACF-A199-8967E84471E3}"/>
  <bookViews>
    <workbookView xWindow="-120" yWindow="-120" windowWidth="25440" windowHeight="15390" firstSheet="2" activeTab="7" xr2:uid="{00000000-000D-0000-FFFF-FFFF00000000}"/>
  </bookViews>
  <sheets>
    <sheet name="belastingdruk" sheetId="1" r:id="rId1"/>
    <sheet name="belasting eenmanszaak" sheetId="4" r:id="rId2"/>
    <sheet name="belasting bv 1" sheetId="5" r:id="rId3"/>
    <sheet name="belasting bv 2" sheetId="8" r:id="rId4"/>
    <sheet name="belasting bv 3" sheetId="6" r:id="rId5"/>
    <sheet name="belasting bv 4" sheetId="7" r:id="rId6"/>
    <sheet name="eenmanszaak tarieven" sheetId="2" r:id="rId7"/>
    <sheet name="bv tarieven" sheetId="3" r:id="rId8"/>
  </sheets>
  <definedNames>
    <definedName name="DGA_2017">'bv tarieven'!$B$9</definedName>
    <definedName name="DGA_2018">'bv tarieven'!$D$9</definedName>
    <definedName name="DGA_2019">'bv tarieven'!$F$9</definedName>
    <definedName name="DGA_salaris">belastingdruk!$C$4</definedName>
    <definedName name="FOR_max_2017">'eenmanszaak tarieven'!$C$2</definedName>
    <definedName name="FOR_max_2018">'eenmanszaak tarieven'!$E$2</definedName>
    <definedName name="FOR_max_2019">'eenmanszaak tarieven'!$G$2</definedName>
    <definedName name="Nihil_2017">'eenmanszaak tarieven'!$B$24</definedName>
    <definedName name="Nihil_2018">'eenmanszaak tarieven'!$D$24</definedName>
    <definedName name="Nihil_2019">'eenmanszaak tarieven'!$F$24</definedName>
    <definedName name="personen">belastingdruk!$C$3</definedName>
    <definedName name="tabel_aftrek">'eenmanszaak tarieven'!$A$2:$G$4</definedName>
    <definedName name="tabel_arbeidskorting">'eenmanszaak tarieven'!$A$18:$G$22</definedName>
    <definedName name="tabel_dividend">'bv tarieven'!$A$7:$G$7</definedName>
    <definedName name="tabel_hefkorting">'eenmanszaak tarieven'!$A$14:$G$16</definedName>
    <definedName name="tabel_inkomsten">'eenmanszaak tarieven'!$A$6:$G$9</definedName>
    <definedName name="tabel_latent">'bv tarieven'!$A$5:$G$5</definedName>
    <definedName name="tabel_vennoot">'bv tarieven'!$A$2:$G$3</definedName>
    <definedName name="tabel_verzekering">'eenmanszaak tarieven'!$A$11:$G$12</definedName>
    <definedName name="Te_betalen_belasting__totaal">'belasting eenmanszaak'!$B$31:$D$31</definedName>
    <definedName name="winst">belastingdruk!$C$2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4" l="1"/>
  <c r="B19" i="4"/>
  <c r="S20" i="1"/>
  <c r="S14" i="1"/>
  <c r="S8" i="1"/>
  <c r="D3" i="8"/>
  <c r="D24" i="8" s="1"/>
  <c r="C3" i="8"/>
  <c r="C12" i="8" s="1"/>
  <c r="B3" i="8"/>
  <c r="B22" i="8" s="1"/>
  <c r="D2" i="8"/>
  <c r="C2" i="8"/>
  <c r="B2" i="8"/>
  <c r="D3" i="5"/>
  <c r="D19" i="5" s="1"/>
  <c r="C3" i="5"/>
  <c r="C19" i="5" s="1"/>
  <c r="B3" i="5"/>
  <c r="B19" i="5" s="1"/>
  <c r="M20" i="1"/>
  <c r="M14" i="1"/>
  <c r="M8" i="1"/>
  <c r="D19" i="7"/>
  <c r="C19" i="7"/>
  <c r="B19" i="7"/>
  <c r="D20" i="7"/>
  <c r="C20" i="7"/>
  <c r="B20" i="7"/>
  <c r="U20" i="1"/>
  <c r="T20" i="1"/>
  <c r="R20" i="1"/>
  <c r="Q20" i="1"/>
  <c r="Q14" i="1"/>
  <c r="R14" i="1"/>
  <c r="T14" i="1"/>
  <c r="U14" i="1"/>
  <c r="U8" i="1"/>
  <c r="T8" i="1"/>
  <c r="R8" i="1"/>
  <c r="Q8" i="1"/>
  <c r="C3" i="6"/>
  <c r="C19" i="6" s="1"/>
  <c r="D3" i="6"/>
  <c r="F20" i="1" s="1"/>
  <c r="B3" i="6"/>
  <c r="F8" i="1" s="1"/>
  <c r="C24" i="7"/>
  <c r="B24" i="7"/>
  <c r="C15" i="7"/>
  <c r="B15" i="7"/>
  <c r="D12" i="7"/>
  <c r="C12" i="7"/>
  <c r="D23" i="7"/>
  <c r="C23" i="7"/>
  <c r="D2" i="7"/>
  <c r="C2" i="7"/>
  <c r="B2" i="7"/>
  <c r="D2" i="6"/>
  <c r="C2" i="6"/>
  <c r="B2" i="6"/>
  <c r="C22" i="8" l="1"/>
  <c r="C24" i="8"/>
  <c r="B25" i="8"/>
  <c r="B15" i="8"/>
  <c r="D12" i="8"/>
  <c r="C15" i="8"/>
  <c r="B19" i="8"/>
  <c r="D22" i="8"/>
  <c r="C25" i="8"/>
  <c r="B13" i="8"/>
  <c r="B14" i="8" s="1"/>
  <c r="D15" i="8"/>
  <c r="C19" i="8"/>
  <c r="B23" i="8"/>
  <c r="D25" i="8"/>
  <c r="C13" i="8"/>
  <c r="C14" i="8" s="1"/>
  <c r="B16" i="8"/>
  <c r="D19" i="8"/>
  <c r="C23" i="8"/>
  <c r="B11" i="8"/>
  <c r="D13" i="8"/>
  <c r="D14" i="8" s="1"/>
  <c r="C16" i="8"/>
  <c r="B20" i="8"/>
  <c r="D23" i="8"/>
  <c r="B4" i="8"/>
  <c r="L8" i="1" s="1"/>
  <c r="C11" i="8"/>
  <c r="D16" i="8"/>
  <c r="C20" i="8"/>
  <c r="B24" i="8"/>
  <c r="C4" i="8"/>
  <c r="L14" i="1" s="1"/>
  <c r="D20" i="8"/>
  <c r="D4" i="8"/>
  <c r="L20" i="1" s="1"/>
  <c r="B12" i="8"/>
  <c r="B11" i="6"/>
  <c r="B19" i="6"/>
  <c r="B20" i="5"/>
  <c r="D20" i="6"/>
  <c r="D20" i="5"/>
  <c r="C20" i="5"/>
  <c r="C20" i="6"/>
  <c r="B20" i="6"/>
  <c r="B25" i="6"/>
  <c r="F14" i="1"/>
  <c r="D23" i="6"/>
  <c r="C4" i="6"/>
  <c r="C6" i="6" s="1"/>
  <c r="C7" i="6" s="1"/>
  <c r="B13" i="7"/>
  <c r="B14" i="7" s="1"/>
  <c r="D15" i="7"/>
  <c r="B22" i="7"/>
  <c r="D24" i="7"/>
  <c r="C12" i="6"/>
  <c r="C13" i="7"/>
  <c r="C14" i="7" s="1"/>
  <c r="B16" i="7"/>
  <c r="C22" i="7"/>
  <c r="B25" i="7"/>
  <c r="B11" i="7"/>
  <c r="D13" i="7"/>
  <c r="D14" i="7" s="1"/>
  <c r="C16" i="7"/>
  <c r="D22" i="7"/>
  <c r="C25" i="7"/>
  <c r="D19" i="6"/>
  <c r="B4" i="7"/>
  <c r="N8" i="1" s="1"/>
  <c r="C11" i="7"/>
  <c r="D16" i="7"/>
  <c r="B23" i="7"/>
  <c r="D25" i="7"/>
  <c r="C23" i="6"/>
  <c r="C4" i="7"/>
  <c r="N14" i="1" s="1"/>
  <c r="D11" i="7"/>
  <c r="D4" i="7"/>
  <c r="N20" i="1" s="1"/>
  <c r="B12" i="7"/>
  <c r="D12" i="6"/>
  <c r="C15" i="6"/>
  <c r="C24" i="6"/>
  <c r="B15" i="6"/>
  <c r="B24" i="6"/>
  <c r="D15" i="6"/>
  <c r="C13" i="6"/>
  <c r="C14" i="6" s="1"/>
  <c r="C22" i="6"/>
  <c r="D13" i="6"/>
  <c r="D14" i="6" s="1"/>
  <c r="C16" i="6"/>
  <c r="D22" i="6"/>
  <c r="C25" i="6"/>
  <c r="B13" i="6"/>
  <c r="B14" i="6" s="1"/>
  <c r="B22" i="6"/>
  <c r="D24" i="6"/>
  <c r="B16" i="6"/>
  <c r="B4" i="6"/>
  <c r="C11" i="6"/>
  <c r="D16" i="6"/>
  <c r="B23" i="6"/>
  <c r="D25" i="6"/>
  <c r="D4" i="6"/>
  <c r="B12" i="6"/>
  <c r="F7" i="2"/>
  <c r="F6" i="2"/>
  <c r="D11" i="8" s="1"/>
  <c r="D2" i="5"/>
  <c r="D6" i="4"/>
  <c r="D2" i="4"/>
  <c r="D11" i="6" l="1"/>
  <c r="B17" i="8"/>
  <c r="C27" i="8"/>
  <c r="D6" i="8"/>
  <c r="C17" i="8"/>
  <c r="D27" i="8"/>
  <c r="B6" i="8"/>
  <c r="D17" i="8"/>
  <c r="B27" i="8"/>
  <c r="C6" i="8"/>
  <c r="C7" i="8" s="1"/>
  <c r="D3" i="4"/>
  <c r="D4" i="4" s="1"/>
  <c r="D5" i="4" s="1"/>
  <c r="J20" i="1"/>
  <c r="C17" i="6"/>
  <c r="B27" i="6"/>
  <c r="D17" i="6"/>
  <c r="B17" i="6"/>
  <c r="B17" i="7"/>
  <c r="D17" i="7"/>
  <c r="C17" i="7"/>
  <c r="C27" i="7"/>
  <c r="D27" i="7"/>
  <c r="B27" i="7"/>
  <c r="D27" i="6"/>
  <c r="C27" i="6"/>
  <c r="C6" i="7"/>
  <c r="C7" i="7" s="1"/>
  <c r="B6" i="7"/>
  <c r="D6" i="7"/>
  <c r="C8" i="6"/>
  <c r="M15" i="1" s="1"/>
  <c r="B6" i="6"/>
  <c r="B7" i="6" s="1"/>
  <c r="D6" i="6"/>
  <c r="D7" i="6" s="1"/>
  <c r="D23" i="5"/>
  <c r="D13" i="5"/>
  <c r="D14" i="5" s="1"/>
  <c r="D24" i="5"/>
  <c r="D15" i="5"/>
  <c r="D25" i="5"/>
  <c r="D16" i="5"/>
  <c r="D22" i="5"/>
  <c r="D11" i="5"/>
  <c r="D12" i="5"/>
  <c r="D4" i="5"/>
  <c r="K20" i="1" s="1"/>
  <c r="C23" i="5"/>
  <c r="D7" i="8" l="1"/>
  <c r="D8" i="8" s="1"/>
  <c r="C8" i="8"/>
  <c r="B7" i="8"/>
  <c r="B8" i="8" s="1"/>
  <c r="C20" i="1"/>
  <c r="D6" i="5"/>
  <c r="D7" i="5" s="1"/>
  <c r="M17" i="1"/>
  <c r="M16" i="1"/>
  <c r="D17" i="5"/>
  <c r="C8" i="7"/>
  <c r="N15" i="1" s="1"/>
  <c r="D7" i="7"/>
  <c r="D8" i="7" s="1"/>
  <c r="N21" i="1" s="1"/>
  <c r="B7" i="7"/>
  <c r="B8" i="7" s="1"/>
  <c r="N9" i="1" s="1"/>
  <c r="B8" i="6"/>
  <c r="M9" i="1" s="1"/>
  <c r="D8" i="6"/>
  <c r="M21" i="1" s="1"/>
  <c r="C32" i="6"/>
  <c r="C9" i="6"/>
  <c r="C29" i="6" s="1"/>
  <c r="C30" i="6" s="1"/>
  <c r="D27" i="5"/>
  <c r="D23" i="4"/>
  <c r="D24" i="4"/>
  <c r="D25" i="4"/>
  <c r="D7" i="4"/>
  <c r="D8" i="4" s="1"/>
  <c r="D22" i="4"/>
  <c r="C2" i="4"/>
  <c r="B2" i="4"/>
  <c r="C2" i="5"/>
  <c r="B2" i="5"/>
  <c r="B25" i="5"/>
  <c r="C24" i="5"/>
  <c r="C6" i="4"/>
  <c r="B6" i="4"/>
  <c r="F15" i="1" l="1"/>
  <c r="F17" i="1" s="1"/>
  <c r="B32" i="8"/>
  <c r="L9" i="1" s="1"/>
  <c r="B9" i="8"/>
  <c r="D32" i="8"/>
  <c r="L21" i="1" s="1"/>
  <c r="L23" i="1" s="1"/>
  <c r="D9" i="8"/>
  <c r="C32" i="8"/>
  <c r="L15" i="1" s="1"/>
  <c r="C9" i="8"/>
  <c r="B3" i="4"/>
  <c r="C8" i="1" s="1"/>
  <c r="J8" i="1"/>
  <c r="C3" i="4"/>
  <c r="C4" i="4" s="1"/>
  <c r="C5" i="4" s="1"/>
  <c r="C25" i="4" s="1"/>
  <c r="J14" i="1"/>
  <c r="N11" i="1"/>
  <c r="N10" i="1"/>
  <c r="N17" i="1"/>
  <c r="N16" i="1"/>
  <c r="M11" i="1"/>
  <c r="M10" i="1"/>
  <c r="N23" i="1"/>
  <c r="N22" i="1"/>
  <c r="M23" i="1"/>
  <c r="M22" i="1"/>
  <c r="B32" i="7"/>
  <c r="B9" i="7"/>
  <c r="D32" i="7"/>
  <c r="D9" i="7"/>
  <c r="C32" i="7"/>
  <c r="C9" i="7"/>
  <c r="D32" i="6"/>
  <c r="D9" i="6"/>
  <c r="D29" i="6" s="1"/>
  <c r="D30" i="6" s="1"/>
  <c r="B32" i="6"/>
  <c r="B9" i="6"/>
  <c r="B29" i="6" s="1"/>
  <c r="B30" i="6" s="1"/>
  <c r="D8" i="5"/>
  <c r="K21" i="1" s="1"/>
  <c r="D9" i="4"/>
  <c r="D20" i="4" s="1"/>
  <c r="C25" i="5"/>
  <c r="B22" i="5"/>
  <c r="B23" i="5"/>
  <c r="B24" i="5"/>
  <c r="C22" i="5"/>
  <c r="B12" i="5"/>
  <c r="B16" i="5"/>
  <c r="C12" i="5"/>
  <c r="C16" i="5"/>
  <c r="B4" i="5"/>
  <c r="K8" i="1" s="1"/>
  <c r="C4" i="5"/>
  <c r="K14" i="1" s="1"/>
  <c r="B11" i="5"/>
  <c r="B13" i="5"/>
  <c r="B14" i="5" s="1"/>
  <c r="B15" i="5"/>
  <c r="C11" i="5"/>
  <c r="C13" i="5"/>
  <c r="C14" i="5" s="1"/>
  <c r="C15" i="5"/>
  <c r="G8" i="1" l="1"/>
  <c r="B29" i="7"/>
  <c r="B30" i="7" s="1"/>
  <c r="G20" i="1"/>
  <c r="D29" i="7"/>
  <c r="D30" i="7" s="1"/>
  <c r="G14" i="1"/>
  <c r="C29" i="7"/>
  <c r="C30" i="7" s="1"/>
  <c r="F9" i="1"/>
  <c r="F21" i="1"/>
  <c r="F23" i="1" s="1"/>
  <c r="C29" i="8"/>
  <c r="C30" i="8" s="1"/>
  <c r="E14" i="1"/>
  <c r="L17" i="1"/>
  <c r="L16" i="1"/>
  <c r="D29" i="8"/>
  <c r="D30" i="8" s="1"/>
  <c r="E20" i="1"/>
  <c r="L22" i="1"/>
  <c r="B29" i="8"/>
  <c r="B30" i="8" s="1"/>
  <c r="E8" i="1"/>
  <c r="L11" i="1"/>
  <c r="L10" i="1"/>
  <c r="C14" i="1"/>
  <c r="B4" i="4"/>
  <c r="B5" i="4" s="1"/>
  <c r="B22" i="4" s="1"/>
  <c r="B17" i="5"/>
  <c r="C17" i="5"/>
  <c r="D32" i="5"/>
  <c r="D9" i="5"/>
  <c r="D20" i="1" s="1"/>
  <c r="D13" i="4"/>
  <c r="D14" i="4" s="1"/>
  <c r="D15" i="4"/>
  <c r="D16" i="4"/>
  <c r="D19" i="4"/>
  <c r="D11" i="4"/>
  <c r="D12" i="4"/>
  <c r="B27" i="5"/>
  <c r="C27" i="5"/>
  <c r="C24" i="4"/>
  <c r="C23" i="4"/>
  <c r="C22" i="4"/>
  <c r="C6" i="5"/>
  <c r="C7" i="5" s="1"/>
  <c r="B6" i="5"/>
  <c r="C7" i="4"/>
  <c r="C8" i="4" s="1"/>
  <c r="G15" i="1" l="1"/>
  <c r="G21" i="1"/>
  <c r="C33" i="8"/>
  <c r="C34" i="8" s="1"/>
  <c r="E15" i="1"/>
  <c r="E17" i="1" s="1"/>
  <c r="D33" i="8"/>
  <c r="D34" i="8" s="1"/>
  <c r="E21" i="1"/>
  <c r="E23" i="1" s="1"/>
  <c r="B33" i="8"/>
  <c r="B34" i="8" s="1"/>
  <c r="E9" i="1"/>
  <c r="E11" i="1" s="1"/>
  <c r="B25" i="4"/>
  <c r="B24" i="4"/>
  <c r="B23" i="4"/>
  <c r="B7" i="4"/>
  <c r="B8" i="4" s="1"/>
  <c r="B9" i="4" s="1"/>
  <c r="D29" i="5"/>
  <c r="D30" i="5" s="1"/>
  <c r="B33" i="7"/>
  <c r="G9" i="1"/>
  <c r="G11" i="1" s="1"/>
  <c r="D27" i="4"/>
  <c r="D17" i="4"/>
  <c r="B7" i="5"/>
  <c r="B8" i="5" s="1"/>
  <c r="C8" i="5"/>
  <c r="C9" i="4"/>
  <c r="C20" i="4" s="1"/>
  <c r="G23" i="1" l="1"/>
  <c r="G22" i="1"/>
  <c r="G17" i="1"/>
  <c r="G16" i="1"/>
  <c r="D21" i="1"/>
  <c r="D23" i="1" s="1"/>
  <c r="E16" i="1"/>
  <c r="B35" i="8"/>
  <c r="S9" i="1"/>
  <c r="E10" i="1"/>
  <c r="D35" i="8"/>
  <c r="S21" i="1"/>
  <c r="E22" i="1"/>
  <c r="C35" i="8"/>
  <c r="S15" i="1"/>
  <c r="B20" i="4"/>
  <c r="G10" i="1"/>
  <c r="C32" i="5"/>
  <c r="K15" i="1"/>
  <c r="B32" i="5"/>
  <c r="K9" i="1"/>
  <c r="K23" i="1"/>
  <c r="K22" i="1"/>
  <c r="D28" i="4"/>
  <c r="B12" i="4"/>
  <c r="B15" i="4"/>
  <c r="B13" i="4"/>
  <c r="B14" i="4" s="1"/>
  <c r="B16" i="4"/>
  <c r="C19" i="4"/>
  <c r="C9" i="5"/>
  <c r="D14" i="1" s="1"/>
  <c r="B9" i="5"/>
  <c r="C13" i="4"/>
  <c r="C14" i="4" s="1"/>
  <c r="C16" i="4"/>
  <c r="C12" i="4"/>
  <c r="C15" i="4"/>
  <c r="C11" i="4"/>
  <c r="S17" i="1" l="1"/>
  <c r="S16" i="1"/>
  <c r="S23" i="1"/>
  <c r="S22" i="1"/>
  <c r="S11" i="1"/>
  <c r="S10" i="1"/>
  <c r="C29" i="5"/>
  <c r="C30" i="5" s="1"/>
  <c r="F11" i="1"/>
  <c r="B29" i="5"/>
  <c r="B30" i="5" s="1"/>
  <c r="D8" i="1"/>
  <c r="D30" i="4"/>
  <c r="D31" i="4" s="1"/>
  <c r="D32" i="4" s="1"/>
  <c r="C21" i="1"/>
  <c r="C23" i="1" s="1"/>
  <c r="K11" i="1"/>
  <c r="K10" i="1"/>
  <c r="K17" i="1"/>
  <c r="K16" i="1"/>
  <c r="B17" i="4"/>
  <c r="B27" i="4"/>
  <c r="C27" i="4"/>
  <c r="C17" i="4"/>
  <c r="D15" i="1" l="1"/>
  <c r="D17" i="1" s="1"/>
  <c r="D9" i="1"/>
  <c r="C22" i="1"/>
  <c r="Q21" i="1"/>
  <c r="J21" i="1"/>
  <c r="C28" i="4"/>
  <c r="B28" i="4"/>
  <c r="D11" i="1" l="1"/>
  <c r="D10" i="1"/>
  <c r="B30" i="4"/>
  <c r="B31" i="4" s="1"/>
  <c r="B32" i="4" s="1"/>
  <c r="C9" i="1"/>
  <c r="C11" i="1" s="1"/>
  <c r="C30" i="4"/>
  <c r="C31" i="4" s="1"/>
  <c r="C15" i="1"/>
  <c r="C17" i="1" s="1"/>
  <c r="J23" i="1"/>
  <c r="J22" i="1"/>
  <c r="Q22" i="1"/>
  <c r="Q23" i="1"/>
  <c r="C10" i="1" l="1"/>
  <c r="C16" i="1"/>
  <c r="Q15" i="1"/>
  <c r="J15" i="1"/>
  <c r="C32" i="4"/>
  <c r="Q9" i="1"/>
  <c r="J9" i="1"/>
  <c r="B34" i="7"/>
  <c r="U9" i="1" s="1"/>
  <c r="U11" i="1" l="1"/>
  <c r="U10" i="1"/>
  <c r="J11" i="1"/>
  <c r="J10" i="1"/>
  <c r="Q11" i="1"/>
  <c r="Q10" i="1"/>
  <c r="J16" i="1"/>
  <c r="J17" i="1"/>
  <c r="Q16" i="1"/>
  <c r="Q17" i="1"/>
  <c r="B35" i="7"/>
  <c r="C33" i="7"/>
  <c r="C34" i="7" s="1"/>
  <c r="U15" i="1" s="1"/>
  <c r="D33" i="7"/>
  <c r="D34" i="7" s="1"/>
  <c r="U21" i="1" s="1"/>
  <c r="U22" i="1" l="1"/>
  <c r="U23" i="1"/>
  <c r="U17" i="1"/>
  <c r="U16" i="1"/>
  <c r="C35" i="7"/>
  <c r="D35" i="7"/>
  <c r="B33" i="6"/>
  <c r="B34" i="6" s="1"/>
  <c r="C33" i="6"/>
  <c r="C34" i="6" s="1"/>
  <c r="D33" i="6"/>
  <c r="D34" i="6" s="1"/>
  <c r="F10" i="1" l="1"/>
  <c r="T9" i="1"/>
  <c r="F16" i="1"/>
  <c r="T15" i="1"/>
  <c r="F22" i="1"/>
  <c r="T21" i="1"/>
  <c r="B35" i="6"/>
  <c r="D35" i="6"/>
  <c r="C35" i="6"/>
  <c r="B33" i="5"/>
  <c r="B34" i="5" s="1"/>
  <c r="T22" i="1" l="1"/>
  <c r="T23" i="1"/>
  <c r="R9" i="1"/>
  <c r="T10" i="1"/>
  <c r="T11" i="1"/>
  <c r="T16" i="1"/>
  <c r="T17" i="1"/>
  <c r="B35" i="5"/>
  <c r="C33" i="5"/>
  <c r="C34" i="5" s="1"/>
  <c r="R15" i="1" s="1"/>
  <c r="D33" i="5"/>
  <c r="D34" i="5" s="1"/>
  <c r="R21" i="1" s="1"/>
  <c r="R22" i="1" l="1"/>
  <c r="R23" i="1"/>
  <c r="R16" i="1"/>
  <c r="R17" i="1"/>
  <c r="R11" i="1"/>
  <c r="R10" i="1"/>
  <c r="D22" i="1"/>
  <c r="D16" i="1"/>
  <c r="D35" i="5"/>
  <c r="C35" i="5"/>
</calcChain>
</file>

<file path=xl/sharedStrings.xml><?xml version="1.0" encoding="utf-8"?>
<sst xmlns="http://schemas.openxmlformats.org/spreadsheetml/2006/main" count="277" uniqueCount="78">
  <si>
    <t>Winst</t>
  </si>
  <si>
    <t>Aantal personen</t>
  </si>
  <si>
    <t>FOR</t>
  </si>
  <si>
    <t>MKB-winstvrijstelling</t>
  </si>
  <si>
    <t>Zelfstandigenaftrek</t>
  </si>
  <si>
    <t>Inkomstenbelasting schijf 1</t>
  </si>
  <si>
    <t>Inkomstenbelasting schijf 2</t>
  </si>
  <si>
    <t>Inkomstenbelasting schijf 3</t>
  </si>
  <si>
    <t>Inkomstenbelasting schijf 4</t>
  </si>
  <si>
    <t>Premie volksverzekeringen schijf 1</t>
  </si>
  <si>
    <t>Premie volksverzekeringen schijf 2</t>
  </si>
  <si>
    <t>=2254-4,787%*(inkomen-19982)</t>
  </si>
  <si>
    <t>Arbeidskorting 1</t>
  </si>
  <si>
    <t>Arbeidskorting 2</t>
  </si>
  <si>
    <t>Arbeidskorting 3</t>
  </si>
  <si>
    <t>Arbeidskorting 4</t>
  </si>
  <si>
    <t>Arbeidskorting 5</t>
  </si>
  <si>
    <t>Heffingskorting 1</t>
  </si>
  <si>
    <t>Heffingskorting 2</t>
  </si>
  <si>
    <t>Heffingskorting 3</t>
  </si>
  <si>
    <t>=165+28,317%*(inkomen-9309)</t>
  </si>
  <si>
    <t>=3223-3,6%*(inkomen-32444)</t>
  </si>
  <si>
    <t>Winst voor zelfstandigen aftrek</t>
  </si>
  <si>
    <t>Winst voor MKB-winstvrijstelling</t>
  </si>
  <si>
    <t>Belastingdruk</t>
  </si>
  <si>
    <t>Vennootschapsbelasting schijf 1</t>
  </si>
  <si>
    <t>Vennootschapsbelasting schijf 2</t>
  </si>
  <si>
    <t>Dividendbelasting</t>
  </si>
  <si>
    <t>Salaris DGA</t>
  </si>
  <si>
    <t>DGA salaris</t>
  </si>
  <si>
    <t>Latente inkomstenbelastingclaim</t>
  </si>
  <si>
    <t>Winst na salaris DGA</t>
  </si>
  <si>
    <t>Winst na vennootschapsbelasting</t>
  </si>
  <si>
    <t>Belastbaar inkomen (per persoon)</t>
  </si>
  <si>
    <t>Inkomen (winst per persoon)</t>
  </si>
  <si>
    <t>Afwijkend DGA salaris</t>
  </si>
  <si>
    <t>Totaal vennootschapsbelastingen</t>
  </si>
  <si>
    <t>Te betalen inkomstenbelasting</t>
  </si>
  <si>
    <t>Te betalen vennootschapsbelasting</t>
  </si>
  <si>
    <t>Totaal kortingen (per persoon)</t>
  </si>
  <si>
    <t>Totaal inkomstenbelastingen (per persoon)</t>
  </si>
  <si>
    <t>Te betalen belasting (totaal)</t>
  </si>
  <si>
    <t>Te betalen inkomstenbelasting (totaal)</t>
  </si>
  <si>
    <t>Eenmanszaak</t>
  </si>
  <si>
    <t>www.jodibooks.com</t>
  </si>
  <si>
    <t>info@jodibooks.com</t>
  </si>
  <si>
    <t>www.facebook.com/jodibookshq</t>
  </si>
  <si>
    <t>www.instagram.com/jodibookshq</t>
  </si>
  <si>
    <r>
      <t>BV (DGA + div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</si>
  <si>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t>Aanname 5</t>
  </si>
  <si>
    <t>Alle opbrengst wordt uitgekeerd als DGA salaris</t>
  </si>
  <si>
    <t>Alle opbrengst wordt uitgekeerd als dividend</t>
  </si>
  <si>
    <t>Te betalen inkomstenbelasting (pp)</t>
  </si>
  <si>
    <t>Nihil betalen</t>
  </si>
  <si>
    <t>Nihil ontvangen</t>
  </si>
  <si>
    <t>Bruto inkomen</t>
  </si>
  <si>
    <t>Netto inkomen</t>
  </si>
  <si>
    <t>Bruto winst</t>
  </si>
  <si>
    <t>Netto winst</t>
  </si>
  <si>
    <t>Winst/dga-salaris/dividend wordt gelijk verdeeld tussen meerdere eigenaren.</t>
  </si>
  <si>
    <t>Geen persoonsafhankelijk inkomen of kortingen zijn meegenomen.</t>
  </si>
  <si>
    <t>Belangrijk:</t>
  </si>
  <si>
    <t>Wij zijn geen belastingspecialist. Gebruik deze sheet alleen ter indicatie. Overleg altijd met je boekhouder en/of belastingadviseur.</t>
  </si>
  <si>
    <t>Aanname 6</t>
  </si>
  <si>
    <t>Het afwijkend dga-salaris wordt uitgekeerd als salaris (minimum is 45.000, mits mogelijk). Alle overige winst als dividend (of gereserveerd als latente inkomstenbelastingclaim).</t>
  </si>
  <si>
    <t>Het afwijkend dga-salaris wordt uitgekeerd als salaris (geen minimum). Alle overige winst als dividend (of gereserveerd als latente inkomstenbelastingclaim).</t>
  </si>
  <si>
    <r>
      <t>BV (DGA + div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</si>
  <si>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BV (DGA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</si>
  <si>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BV (dividend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</si>
  <si>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t>Totaal</t>
  </si>
  <si>
    <t>Voor de jou als werknemer.</t>
  </si>
  <si>
    <t>Voor jou als het bedrijf.</t>
  </si>
  <si>
    <t>Totale bruto winst</t>
  </si>
  <si>
    <t>Versie 7-aug-2019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</si>
  <si>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Aanname 1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</si>
  <si>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Aanname 4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</si>
  <si>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Aanname 3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</si>
  <si>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Aanname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</si>
</sst>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0.000%"/>
    <numFmt numFmtId="165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10" fontId="0" fillId="0" borderId="0" xfId="0" applyNumberFormat="1"/>
    <xf numFmtId="9" fontId="0" fillId="0" borderId="0" xfId="0" applyNumberFormat="1"/>
    <xf numFmtId="44" fontId="0" fillId="0" borderId="0" xfId="1" applyFont="1"/>
    <xf numFmtId="164" fontId="0" fillId="0" borderId="0" xfId="1" applyNumberFormat="1" applyFont="1"/>
    <xf numFmtId="10" fontId="0" fillId="0" borderId="0" xfId="2" applyNumberFormat="1" applyFont="1"/>
    <xf numFmtId="164" fontId="0" fillId="0" borderId="0" xfId="2" applyNumberFormat="1" applyFont="1"/>
    <xf numFmtId="0" fontId="0" fillId="0" borderId="0" xfId="0" quotePrefix="1"/>
    <xf numFmtId="44" fontId="0" fillId="0" borderId="0" xfId="1" quotePrefix="1" applyFont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3" fillId="0" borderId="0" xfId="0" applyFont="1"/>
    <xf numFmtId="0" fontId="3" fillId="0" borderId="0" xfId="0" applyFont="1" applyBorder="1"/>
    <xf numFmtId="44" fontId="0" fillId="0" borderId="0" xfId="1" applyFont="1" applyBorder="1"/>
    <xf numFmtId="0" fontId="2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3" fillId="2" borderId="2" xfId="0" applyFont="1" applyFill="1" applyBorder="1"/>
    <xf numFmtId="10" fontId="0" fillId="0" borderId="0" xfId="2" applyNumberFormat="1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2" xfId="0" applyFill="1" applyBorder="1"/>
    <xf numFmtId="44" fontId="0" fillId="0" borderId="8" xfId="1" applyFont="1" applyBorder="1"/>
    <xf numFmtId="44" fontId="0" fillId="0" borderId="6" xfId="1" applyFont="1" applyBorder="1" applyProtection="1">
      <protection locked="0"/>
    </xf>
    <xf numFmtId="0" fontId="0" fillId="0" borderId="8" xfId="0" applyBorder="1" applyProtection="1">
      <protection locked="0"/>
    </xf>
    <xf numFmtId="165" fontId="0" fillId="0" borderId="10" xfId="0" applyNumberFormat="1" applyBorder="1" applyProtection="1">
      <protection locked="0"/>
    </xf>
    <xf numFmtId="0" fontId="4" fillId="0" borderId="0" xfId="3"/>
    <xf numFmtId="0" fontId="0" fillId="2" borderId="14" xfId="0" applyFill="1" applyBorder="1"/>
    <xf numFmtId="44" fontId="0" fillId="0" borderId="2" xfId="1" applyFont="1" applyBorder="1"/>
    <xf numFmtId="0" fontId="0" fillId="2" borderId="15" xfId="0" applyFill="1" applyBorder="1"/>
    <xf numFmtId="44" fontId="0" fillId="0" borderId="16" xfId="1" applyFont="1" applyBorder="1"/>
    <xf numFmtId="0" fontId="3" fillId="2" borderId="3" xfId="0" applyFont="1" applyFill="1" applyBorder="1"/>
    <xf numFmtId="0" fontId="3" fillId="0" borderId="1" xfId="0" applyFont="1" applyBorder="1"/>
    <xf numFmtId="0" fontId="7" fillId="2" borderId="2" xfId="0" applyFont="1" applyFill="1" applyBorder="1"/>
    <xf numFmtId="0" fontId="7" fillId="0" borderId="0" xfId="0" applyFont="1" applyBorder="1"/>
    <xf numFmtId="0" fontId="7" fillId="0" borderId="0" xfId="0" applyFont="1"/>
    <xf numFmtId="0" fontId="0" fillId="0" borderId="17" xfId="0" applyBorder="1"/>
    <xf numFmtId="0" fontId="0" fillId="2" borderId="7" xfId="0" applyFill="1" applyBorder="1" applyAlignment="1">
      <alignment horizontal="left"/>
    </xf>
    <xf numFmtId="0" fontId="0" fillId="2" borderId="18" xfId="0" applyFill="1" applyBorder="1"/>
    <xf numFmtId="44" fontId="0" fillId="0" borderId="3" xfId="1" applyFont="1" applyBorder="1"/>
    <xf numFmtId="44" fontId="0" fillId="0" borderId="19" xfId="1" applyFont="1" applyBorder="1"/>
    <xf numFmtId="44" fontId="0" fillId="0" borderId="20" xfId="1" applyFont="1" applyBorder="1"/>
    <xf numFmtId="0" fontId="0" fillId="2" borderId="21" xfId="0" applyFill="1" applyBorder="1" applyAlignment="1">
      <alignment horizontal="left"/>
    </xf>
    <xf numFmtId="44" fontId="0" fillId="0" borderId="22" xfId="1" applyFont="1" applyBorder="1"/>
    <xf numFmtId="9" fontId="0" fillId="0" borderId="24" xfId="2" applyFont="1" applyBorder="1"/>
    <xf numFmtId="9" fontId="0" fillId="0" borderId="25" xfId="2" applyFont="1" applyBorder="1"/>
    <xf numFmtId="9" fontId="0" fillId="0" borderId="23" xfId="2" applyFont="1" applyBorder="1"/>
    <xf numFmtId="9" fontId="0" fillId="0" borderId="26" xfId="2" applyFont="1" applyBorder="1"/>
    <xf numFmtId="0" fontId="2" fillId="0" borderId="0" xfId="0" applyFont="1"/>
    <xf numFmtId="0" fontId="0" fillId="3" borderId="0" xfId="0" applyFill="1"/>
    <xf numFmtId="0" fontId="0" fillId="3" borderId="0" xfId="0" applyFill="1" applyBorder="1"/>
    <xf numFmtId="165" fontId="0" fillId="3" borderId="0" xfId="0" applyNumberFormat="1" applyFill="1" applyBorder="1" applyProtection="1">
      <protection locked="0"/>
    </xf>
    <xf numFmtId="44" fontId="0" fillId="3" borderId="0" xfId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44" fontId="0" fillId="0" borderId="0" xfId="0" applyNumberFormat="1"/>
    <xf numFmtId="0" fontId="2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1800000</xdr:colOff>
      <xdr:row>33</xdr:row>
      <xdr:rowOff>85500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325959-8D05-41F8-A0C9-EE9CC83CE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314700"/>
          <a:ext cx="180000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jodibookshq" TargetMode="External"/><Relationship Id="rId2" Type="http://schemas.openxmlformats.org/officeDocument/2006/relationships/hyperlink" Target="mailto:info@jodibooks.com" TargetMode="External"/><Relationship Id="rId1" Type="http://schemas.openxmlformats.org/officeDocument/2006/relationships/hyperlink" Target="http://www.jodibooks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stagram.com/jodibooksh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workbookViewId="0">
      <selection activeCell="C2" sqref="C2"/>
    </sheetView>
  </sheetViews>
  <sheetFormatPr defaultRowHeight="15" x14ac:dyDescent="0.25"/>
  <cols>
    <col min="1" max="1" width="2.7109375" customWidth="1"/>
    <col min="2" max="2" width="32.42578125" bestFit="1" customWidth="1"/>
    <col min="3" max="7" width="15.7109375" customWidth="1"/>
    <col min="8" max="8" width="2.7109375" customWidth="1"/>
    <col min="9" max="9" width="32.42578125" bestFit="1" customWidth="1"/>
    <col min="10" max="14" width="15.7109375" customWidth="1"/>
    <col min="15" max="15" width="2.7109375" customWidth="1"/>
    <col min="16" max="16" width="32.42578125" bestFit="1" customWidth="1"/>
    <col min="17" max="21" width="15.7109375" customWidth="1"/>
    <col min="22" max="22" width="2.7109375" customWidth="1"/>
  </cols>
  <sheetData>
    <row r="1" spans="1:22" ht="15.75" thickBot="1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x14ac:dyDescent="0.25">
      <c r="A2" s="55"/>
      <c r="B2" s="23" t="s">
        <v>72</v>
      </c>
      <c r="C2" s="29">
        <v>120000</v>
      </c>
      <c r="D2" s="55"/>
      <c r="E2" s="55"/>
      <c r="F2" s="55"/>
      <c r="G2" s="55"/>
      <c r="H2" s="56"/>
      <c r="I2" s="56"/>
      <c r="J2" s="58"/>
      <c r="K2" s="55"/>
      <c r="L2" s="55"/>
      <c r="M2" s="55"/>
      <c r="N2" s="55"/>
      <c r="O2" s="58"/>
      <c r="P2" s="56"/>
      <c r="Q2" s="58"/>
      <c r="R2" s="55"/>
      <c r="S2" s="55"/>
      <c r="T2" s="55"/>
      <c r="U2" s="55"/>
      <c r="V2" s="55"/>
    </row>
    <row r="3" spans="1:22" x14ac:dyDescent="0.25">
      <c r="A3" s="55"/>
      <c r="B3" s="24" t="s">
        <v>1</v>
      </c>
      <c r="C3" s="30">
        <v>1</v>
      </c>
      <c r="D3" s="55"/>
      <c r="E3" s="55"/>
      <c r="F3" s="55"/>
      <c r="G3" s="55"/>
      <c r="H3" s="56"/>
      <c r="I3" s="56"/>
      <c r="J3" s="59"/>
      <c r="K3" s="55"/>
      <c r="L3" s="55"/>
      <c r="M3" s="55"/>
      <c r="N3" s="55"/>
      <c r="O3" s="59"/>
      <c r="P3" s="56"/>
      <c r="Q3" s="59"/>
      <c r="R3" s="55"/>
      <c r="S3" s="55"/>
      <c r="T3" s="55"/>
      <c r="U3" s="55"/>
      <c r="V3" s="55"/>
    </row>
    <row r="4" spans="1:22" ht="15.75" thickBot="1" x14ac:dyDescent="0.3">
      <c r="A4" s="55"/>
      <c r="B4" s="25" t="s">
        <v>35</v>
      </c>
      <c r="C4" s="31">
        <v>30000</v>
      </c>
      <c r="D4" s="55"/>
      <c r="E4" s="55"/>
      <c r="F4" s="55"/>
      <c r="G4" s="55"/>
      <c r="H4" s="56"/>
      <c r="I4" s="56"/>
      <c r="J4" s="57"/>
      <c r="K4" s="55"/>
      <c r="L4" s="55"/>
      <c r="M4" s="55"/>
      <c r="N4" s="55"/>
      <c r="O4" s="57"/>
      <c r="P4" s="56"/>
      <c r="Q4" s="57"/>
      <c r="R4" s="55"/>
      <c r="S4" s="55"/>
      <c r="T4" s="55"/>
      <c r="U4" s="55"/>
      <c r="V4" s="55"/>
    </row>
    <row r="5" spans="1:22" x14ac:dyDescent="0.25">
      <c r="A5" s="55"/>
      <c r="B5" s="56"/>
      <c r="C5" s="57"/>
      <c r="D5" s="55"/>
      <c r="E5" s="55"/>
      <c r="F5" s="55"/>
      <c r="G5" s="55"/>
      <c r="H5" s="56"/>
      <c r="I5" s="56"/>
      <c r="J5" s="57"/>
      <c r="K5" s="55"/>
      <c r="L5" s="55"/>
      <c r="M5" s="55"/>
      <c r="N5" s="55"/>
      <c r="O5" s="57"/>
      <c r="P5" s="56"/>
      <c r="Q5" s="57"/>
      <c r="R5" s="55"/>
      <c r="S5" s="55"/>
      <c r="T5" s="55"/>
      <c r="U5" s="55"/>
      <c r="V5" s="55"/>
    </row>
    <row r="6" spans="1:22" ht="15.75" thickBot="1" x14ac:dyDescent="0.3">
      <c r="A6" s="55"/>
      <c r="B6" s="61" t="s">
        <v>70</v>
      </c>
      <c r="C6" s="61"/>
      <c r="D6" s="61"/>
      <c r="E6" s="61"/>
      <c r="F6" s="61"/>
      <c r="G6" s="61"/>
      <c r="H6" s="55"/>
      <c r="I6" s="61" t="s">
        <v>71</v>
      </c>
      <c r="J6" s="61"/>
      <c r="K6" s="61"/>
      <c r="L6" s="61"/>
      <c r="M6" s="61"/>
      <c r="N6" s="61"/>
      <c r="O6" s="55"/>
      <c r="P6" s="61" t="s">
        <v>69</v>
      </c>
      <c r="Q6" s="61"/>
      <c r="R6" s="61"/>
      <c r="S6" s="61"/>
      <c r="T6" s="61"/>
      <c r="U6" s="61"/>
      <c r="V6" s="55"/>
    </row>
    <row r="7" spans="1:22" ht="17.25" hidden="1" x14ac:dyDescent="0.25">
      <c r="A7" s="55"/>
      <c r="B7" s="48">
        <v>2017</v>
      </c>
      <c r="C7" s="26" t="s">
        <v>43</v>
      </c>
      <c r="D7" s="33" t="s">
        <v>48</v>
      </c>
      <c r="E7" s="33" t="s">
        <v>66</v>
      </c>
      <c r="F7" s="35" t="s">
        <v>67</v>
      </c>
      <c r="G7" s="27" t="s">
        <v>68</v>
      </c>
      <c r="H7" s="55"/>
      <c r="I7" s="48">
        <v>2017</v>
      </c>
      <c r="J7" s="26" t="s">
        <v>43</v>
      </c>
      <c r="K7" s="33" t="s">
        <v>48</v>
      </c>
      <c r="L7" s="33" t="s">
        <v>66</v>
      </c>
      <c r="M7" s="35" t="s">
        <v>67</v>
      </c>
      <c r="N7" s="27" t="s">
        <v>68</v>
      </c>
      <c r="O7" s="55"/>
      <c r="P7" s="48">
        <v>2017</v>
      </c>
      <c r="Q7" s="26" t="s">
        <v>43</v>
      </c>
      <c r="R7" s="33" t="s">
        <v>48</v>
      </c>
      <c r="S7" s="33" t="s">
        <v>66</v>
      </c>
      <c r="T7" s="35" t="s">
        <v>67</v>
      </c>
      <c r="U7" s="27" t="s">
        <v>68</v>
      </c>
      <c r="V7" s="55"/>
    </row>
    <row r="8" spans="1:22" hidden="1" x14ac:dyDescent="0.25">
      <c r="A8" s="55"/>
      <c r="B8" s="43" t="s">
        <v>55</v>
      </c>
      <c r="C8" s="14">
        <f>'belasting eenmanszaak'!B3</f>
        <v>120000</v>
      </c>
      <c r="D8" s="34">
        <f>'belasting bv 1'!B3+'belasting bv 1'!B9/personen</f>
        <v>105000</v>
      </c>
      <c r="E8" s="34">
        <f>'belasting bv 2'!B3+'belasting bv 2'!B9/personen</f>
        <v>102000</v>
      </c>
      <c r="F8" s="36">
        <f>'belasting bv 3'!B3</f>
        <v>120000</v>
      </c>
      <c r="G8" s="28">
        <f>'belasting bv 4'!B3+'belasting bv 4'!B9/personen</f>
        <v>96000</v>
      </c>
      <c r="H8" s="55"/>
      <c r="I8" s="43" t="s">
        <v>57</v>
      </c>
      <c r="J8" s="14">
        <f>'belasting eenmanszaak'!B2</f>
        <v>120000</v>
      </c>
      <c r="K8" s="34">
        <f>'belasting bv 1'!B4</f>
        <v>75000</v>
      </c>
      <c r="L8" s="34">
        <f>'belasting bv 2'!B4</f>
        <v>90000</v>
      </c>
      <c r="M8" s="36">
        <f>'belasting bv 3'!H4</f>
        <v>0</v>
      </c>
      <c r="N8" s="28">
        <f>'belasting bv 4'!B4</f>
        <v>120000</v>
      </c>
      <c r="O8" s="55"/>
      <c r="P8" s="43" t="s">
        <v>57</v>
      </c>
      <c r="Q8" s="14">
        <f>winst</f>
        <v>120000</v>
      </c>
      <c r="R8" s="34">
        <f>winst</f>
        <v>120000</v>
      </c>
      <c r="S8" s="34">
        <f>winst</f>
        <v>120000</v>
      </c>
      <c r="T8" s="36">
        <f>winst</f>
        <v>120000</v>
      </c>
      <c r="U8" s="28">
        <f>winst</f>
        <v>120000</v>
      </c>
      <c r="V8" s="55"/>
    </row>
    <row r="9" spans="1:22" hidden="1" x14ac:dyDescent="0.25">
      <c r="A9" s="55"/>
      <c r="B9" s="24" t="s">
        <v>37</v>
      </c>
      <c r="C9" s="14">
        <f>'belasting eenmanszaak'!B28</f>
        <v>37605</v>
      </c>
      <c r="D9" s="34">
        <f>'belasting bv 1'!B30</f>
        <v>28683</v>
      </c>
      <c r="E9" s="34">
        <f>'belasting bv 2'!B30</f>
        <v>24392</v>
      </c>
      <c r="F9" s="36">
        <f>'belasting bv 3'!B30</f>
        <v>53966</v>
      </c>
      <c r="G9" s="28">
        <f>'belasting bv 4'!B30</f>
        <v>24000</v>
      </c>
      <c r="H9" s="55"/>
      <c r="I9" s="24" t="s">
        <v>41</v>
      </c>
      <c r="J9" s="14">
        <f>'belasting eenmanszaak'!B31</f>
        <v>37605</v>
      </c>
      <c r="K9" s="34">
        <f>'belasting bv 1'!B8</f>
        <v>15000</v>
      </c>
      <c r="L9" s="34">
        <f>'belasting bv 2'!B32</f>
        <v>18000</v>
      </c>
      <c r="M9" s="36">
        <f>'belasting bv 3'!B8</f>
        <v>0</v>
      </c>
      <c r="N9" s="28">
        <f>'belasting bv 4'!B8</f>
        <v>24000</v>
      </c>
      <c r="O9" s="55"/>
      <c r="P9" s="24" t="s">
        <v>41</v>
      </c>
      <c r="Q9" s="14">
        <f>'belasting eenmanszaak'!B31</f>
        <v>37605</v>
      </c>
      <c r="R9" s="34">
        <f>'belasting bv 1'!B34</f>
        <v>43683</v>
      </c>
      <c r="S9" s="34">
        <f>'belasting bv 2'!B34</f>
        <v>42392</v>
      </c>
      <c r="T9" s="36">
        <f>'belasting bv 3'!B34</f>
        <v>53966</v>
      </c>
      <c r="U9" s="28">
        <f>'belasting bv 4'!B34</f>
        <v>48000</v>
      </c>
      <c r="V9" s="55"/>
    </row>
    <row r="10" spans="1:22" hidden="1" x14ac:dyDescent="0.25">
      <c r="A10" s="55"/>
      <c r="B10" s="44" t="s">
        <v>56</v>
      </c>
      <c r="C10" s="49">
        <f>C8-C9</f>
        <v>82395</v>
      </c>
      <c r="D10" s="45">
        <f>D8-D9</f>
        <v>76317</v>
      </c>
      <c r="E10" s="45">
        <f>E8-E9</f>
        <v>77608</v>
      </c>
      <c r="F10" s="46">
        <f>F8-F9</f>
        <v>66034</v>
      </c>
      <c r="G10" s="47">
        <f>G8-G9</f>
        <v>72000</v>
      </c>
      <c r="H10" s="55"/>
      <c r="I10" s="44" t="s">
        <v>58</v>
      </c>
      <c r="J10" s="49">
        <f>J8-J9</f>
        <v>82395</v>
      </c>
      <c r="K10" s="45">
        <f>K8-K9</f>
        <v>60000</v>
      </c>
      <c r="L10" s="45">
        <f>L8-L9</f>
        <v>72000</v>
      </c>
      <c r="M10" s="46">
        <f>M8-M9</f>
        <v>0</v>
      </c>
      <c r="N10" s="47">
        <f>N8-N9</f>
        <v>96000</v>
      </c>
      <c r="O10" s="55"/>
      <c r="P10" s="44" t="s">
        <v>58</v>
      </c>
      <c r="Q10" s="49">
        <f>Q8-Q9</f>
        <v>82395</v>
      </c>
      <c r="R10" s="45">
        <f>R8-R9</f>
        <v>76317</v>
      </c>
      <c r="S10" s="45">
        <f>S8-S9</f>
        <v>77608</v>
      </c>
      <c r="T10" s="46">
        <f>T8-T9</f>
        <v>66034</v>
      </c>
      <c r="U10" s="47">
        <f>U8-U9</f>
        <v>72000</v>
      </c>
      <c r="V10" s="55"/>
    </row>
    <row r="11" spans="1:22" ht="15.75" hidden="1" thickBot="1" x14ac:dyDescent="0.3">
      <c r="A11" s="55"/>
      <c r="B11" s="25" t="s">
        <v>24</v>
      </c>
      <c r="C11" s="50">
        <f>C9/C8</f>
        <v>0.31337500000000001</v>
      </c>
      <c r="D11" s="51">
        <f>D9/D8</f>
        <v>0.27317142857142857</v>
      </c>
      <c r="E11" s="53">
        <f>E9/E8</f>
        <v>0.23913725490196078</v>
      </c>
      <c r="F11" s="50">
        <f>F9/F8</f>
        <v>0.44971666666666665</v>
      </c>
      <c r="G11" s="52">
        <f>G9/G8</f>
        <v>0.25</v>
      </c>
      <c r="H11" s="55"/>
      <c r="I11" s="25" t="s">
        <v>24</v>
      </c>
      <c r="J11" s="50">
        <f>J9/J8</f>
        <v>0.31337500000000001</v>
      </c>
      <c r="K11" s="51">
        <f>IFERROR(K9/K8,0)</f>
        <v>0.2</v>
      </c>
      <c r="L11" s="53">
        <f>L9/L8</f>
        <v>0.2</v>
      </c>
      <c r="M11" s="50">
        <f>IFERROR(M9/M8,0)</f>
        <v>0</v>
      </c>
      <c r="N11" s="52">
        <f>N9/N8</f>
        <v>0.2</v>
      </c>
      <c r="O11" s="55"/>
      <c r="P11" s="25" t="s">
        <v>24</v>
      </c>
      <c r="Q11" s="50">
        <f>Q9/Q8</f>
        <v>0.31337500000000001</v>
      </c>
      <c r="R11" s="51">
        <f>IFERROR(R9/R8,0)</f>
        <v>0.36402499999999999</v>
      </c>
      <c r="S11" s="53">
        <f>S9/S8</f>
        <v>0.35326666666666667</v>
      </c>
      <c r="T11" s="50">
        <f>IFERROR(T9/T8,0)</f>
        <v>0.44971666666666665</v>
      </c>
      <c r="U11" s="52">
        <f>U9/U8</f>
        <v>0.4</v>
      </c>
      <c r="V11" s="55"/>
    </row>
    <row r="12" spans="1:22" ht="15.75" hidden="1" thickBo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17.25" hidden="1" x14ac:dyDescent="0.25">
      <c r="A13" s="55"/>
      <c r="B13" s="48">
        <v>2018</v>
      </c>
      <c r="C13" s="26" t="s">
        <v>43</v>
      </c>
      <c r="D13" s="33" t="s">
        <v>48</v>
      </c>
      <c r="E13" s="33" t="s">
        <v>66</v>
      </c>
      <c r="F13" s="35" t="s">
        <v>67</v>
      </c>
      <c r="G13" s="27" t="s">
        <v>68</v>
      </c>
      <c r="H13" s="55"/>
      <c r="I13" s="48">
        <v>2018</v>
      </c>
      <c r="J13" s="26" t="s">
        <v>43</v>
      </c>
      <c r="K13" s="33" t="s">
        <v>48</v>
      </c>
      <c r="L13" s="33" t="s">
        <v>66</v>
      </c>
      <c r="M13" s="35" t="s">
        <v>67</v>
      </c>
      <c r="N13" s="27" t="s">
        <v>68</v>
      </c>
      <c r="O13" s="55"/>
      <c r="P13" s="48">
        <v>2018</v>
      </c>
      <c r="Q13" s="26" t="s">
        <v>43</v>
      </c>
      <c r="R13" s="33" t="s">
        <v>48</v>
      </c>
      <c r="S13" s="33" t="s">
        <v>66</v>
      </c>
      <c r="T13" s="35" t="s">
        <v>67</v>
      </c>
      <c r="U13" s="27" t="s">
        <v>68</v>
      </c>
      <c r="V13" s="55"/>
    </row>
    <row r="14" spans="1:22" hidden="1" x14ac:dyDescent="0.25">
      <c r="A14" s="55"/>
      <c r="B14" s="43" t="s">
        <v>55</v>
      </c>
      <c r="C14" s="14">
        <f>'belasting eenmanszaak'!C3</f>
        <v>120000</v>
      </c>
      <c r="D14" s="34">
        <f>'belasting bv 1'!C3+'belasting bv 1'!C9/personen</f>
        <v>105000</v>
      </c>
      <c r="E14" s="34">
        <f>'belasting bv 2'!C3+'belasting bv 2'!C9/personen</f>
        <v>102000</v>
      </c>
      <c r="F14" s="36">
        <f>'belasting bv 3'!C3</f>
        <v>120000</v>
      </c>
      <c r="G14" s="28">
        <f>'belasting bv 4'!C3+'belasting bv 4'!C9/personen</f>
        <v>96000</v>
      </c>
      <c r="H14" s="55"/>
      <c r="I14" s="43" t="s">
        <v>57</v>
      </c>
      <c r="J14" s="14">
        <f>'belasting eenmanszaak'!C2</f>
        <v>120000</v>
      </c>
      <c r="K14" s="34">
        <f>'belasting bv 1'!C4</f>
        <v>75000</v>
      </c>
      <c r="L14" s="34">
        <f>'belasting bv 2'!C4</f>
        <v>90000</v>
      </c>
      <c r="M14" s="36">
        <f>'belasting bv 3'!I4</f>
        <v>0</v>
      </c>
      <c r="N14" s="28">
        <f>'belasting bv 4'!C4</f>
        <v>120000</v>
      </c>
      <c r="O14" s="55"/>
      <c r="P14" s="43" t="s">
        <v>57</v>
      </c>
      <c r="Q14" s="14">
        <f>winst</f>
        <v>120000</v>
      </c>
      <c r="R14" s="34">
        <f>winst</f>
        <v>120000</v>
      </c>
      <c r="S14" s="34">
        <f>winst</f>
        <v>120000</v>
      </c>
      <c r="T14" s="36">
        <f>winst</f>
        <v>120000</v>
      </c>
      <c r="U14" s="28">
        <f>winst</f>
        <v>120000</v>
      </c>
      <c r="V14" s="55"/>
    </row>
    <row r="15" spans="1:22" hidden="1" x14ac:dyDescent="0.25">
      <c r="A15" s="55"/>
      <c r="B15" s="24" t="s">
        <v>37</v>
      </c>
      <c r="C15" s="14">
        <f>'belasting eenmanszaak'!C28</f>
        <v>37400</v>
      </c>
      <c r="D15" s="34">
        <f>'belasting bv 1'!C30</f>
        <v>28593</v>
      </c>
      <c r="E15" s="34">
        <f>'belasting bv 2'!C30</f>
        <v>24335</v>
      </c>
      <c r="F15" s="36">
        <f>'belasting bv 3'!C30</f>
        <v>53746</v>
      </c>
      <c r="G15" s="28">
        <f>'belasting bv 4'!C30</f>
        <v>24000</v>
      </c>
      <c r="H15" s="55"/>
      <c r="I15" s="24" t="s">
        <v>41</v>
      </c>
      <c r="J15" s="14">
        <f>'belasting eenmanszaak'!C31</f>
        <v>37400</v>
      </c>
      <c r="K15" s="34">
        <f>'belasting bv 1'!C8</f>
        <v>15000</v>
      </c>
      <c r="L15" s="34">
        <f>'belasting bv 2'!C32</f>
        <v>18000</v>
      </c>
      <c r="M15" s="36">
        <f>'belasting bv 3'!C8</f>
        <v>0</v>
      </c>
      <c r="N15" s="28">
        <f>'belasting bv 4'!C8</f>
        <v>24000</v>
      </c>
      <c r="O15" s="55"/>
      <c r="P15" s="24" t="s">
        <v>41</v>
      </c>
      <c r="Q15" s="14">
        <f>'belasting eenmanszaak'!C31</f>
        <v>37400</v>
      </c>
      <c r="R15" s="34">
        <f>'belasting bv 1'!C34</f>
        <v>43593</v>
      </c>
      <c r="S15" s="34">
        <f>'belasting bv 2'!C34</f>
        <v>42335</v>
      </c>
      <c r="T15" s="36">
        <f>'belasting bv 3'!C34</f>
        <v>53746</v>
      </c>
      <c r="U15" s="28">
        <f>'belasting bv 4'!C34</f>
        <v>48000</v>
      </c>
      <c r="V15" s="55"/>
    </row>
    <row r="16" spans="1:22" hidden="1" x14ac:dyDescent="0.25">
      <c r="A16" s="55"/>
      <c r="B16" s="44" t="s">
        <v>56</v>
      </c>
      <c r="C16" s="49">
        <f>C14-C15</f>
        <v>82600</v>
      </c>
      <c r="D16" s="45">
        <f>D14-D15</f>
        <v>76407</v>
      </c>
      <c r="E16" s="45">
        <f>E14-E15</f>
        <v>77665</v>
      </c>
      <c r="F16" s="46">
        <f>F14-F15</f>
        <v>66254</v>
      </c>
      <c r="G16" s="47">
        <f>G14-G15</f>
        <v>72000</v>
      </c>
      <c r="H16" s="55"/>
      <c r="I16" s="44" t="s">
        <v>58</v>
      </c>
      <c r="J16" s="49">
        <f>J14-J15</f>
        <v>82600</v>
      </c>
      <c r="K16" s="45">
        <f>K14-K15</f>
        <v>60000</v>
      </c>
      <c r="L16" s="45">
        <f>L14-L15</f>
        <v>72000</v>
      </c>
      <c r="M16" s="46">
        <f>M14-M15</f>
        <v>0</v>
      </c>
      <c r="N16" s="47">
        <f>N14-N15</f>
        <v>96000</v>
      </c>
      <c r="O16" s="55"/>
      <c r="P16" s="44" t="s">
        <v>58</v>
      </c>
      <c r="Q16" s="49">
        <f>Q14-Q15</f>
        <v>82600</v>
      </c>
      <c r="R16" s="45">
        <f>R14-R15</f>
        <v>76407</v>
      </c>
      <c r="S16" s="45">
        <f>S14-S15</f>
        <v>77665</v>
      </c>
      <c r="T16" s="46">
        <f>T14-T15</f>
        <v>66254</v>
      </c>
      <c r="U16" s="47">
        <f>U14-U15</f>
        <v>72000</v>
      </c>
      <c r="V16" s="55"/>
    </row>
    <row r="17" spans="1:22" ht="15.75" hidden="1" thickBot="1" x14ac:dyDescent="0.3">
      <c r="A17" s="55"/>
      <c r="B17" s="25" t="s">
        <v>24</v>
      </c>
      <c r="C17" s="50">
        <f>C15/C14</f>
        <v>0.31166666666666665</v>
      </c>
      <c r="D17" s="51">
        <f>D15/D14</f>
        <v>0.27231428571428573</v>
      </c>
      <c r="E17" s="53">
        <f>E15/E14</f>
        <v>0.23857843137254903</v>
      </c>
      <c r="F17" s="50">
        <f>F15/F14</f>
        <v>0.44788333333333336</v>
      </c>
      <c r="G17" s="52">
        <f>G15/G14</f>
        <v>0.25</v>
      </c>
      <c r="H17" s="55"/>
      <c r="I17" s="25" t="s">
        <v>24</v>
      </c>
      <c r="J17" s="50">
        <f>J15/J14</f>
        <v>0.31166666666666665</v>
      </c>
      <c r="K17" s="51">
        <f>IFERROR(K15/K14,0)</f>
        <v>0.2</v>
      </c>
      <c r="L17" s="53">
        <f>L15/L14</f>
        <v>0.2</v>
      </c>
      <c r="M17" s="50">
        <f>IFERROR(M15/M14,0)</f>
        <v>0</v>
      </c>
      <c r="N17" s="52">
        <f>N15/N14</f>
        <v>0.2</v>
      </c>
      <c r="O17" s="55"/>
      <c r="P17" s="25" t="s">
        <v>24</v>
      </c>
      <c r="Q17" s="50">
        <f>Q15/Q14</f>
        <v>0.31166666666666665</v>
      </c>
      <c r="R17" s="51">
        <f>IFERROR(R15/R14,0)</f>
        <v>0.36327500000000001</v>
      </c>
      <c r="S17" s="53">
        <f>S15/S14</f>
        <v>0.35279166666666667</v>
      </c>
      <c r="T17" s="50">
        <f>IFERROR(T15/T14,0)</f>
        <v>0.44788333333333336</v>
      </c>
      <c r="U17" s="52">
        <f>U15/U14</f>
        <v>0.4</v>
      </c>
      <c r="V17" s="55"/>
    </row>
    <row r="18" spans="1:22" ht="15.75" hidden="1" thickBot="1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17.25" x14ac:dyDescent="0.25">
      <c r="A19" s="55"/>
      <c r="B19" s="48">
        <v>2019</v>
      </c>
      <c r="C19" s="26" t="s">
        <v>43</v>
      </c>
      <c r="D19" s="33" t="s">
        <v>48</v>
      </c>
      <c r="E19" s="33" t="s">
        <v>66</v>
      </c>
      <c r="F19" s="35" t="s">
        <v>67</v>
      </c>
      <c r="G19" s="27" t="s">
        <v>68</v>
      </c>
      <c r="H19" s="55"/>
      <c r="I19" s="48">
        <v>2019</v>
      </c>
      <c r="J19" s="26" t="s">
        <v>43</v>
      </c>
      <c r="K19" s="33" t="s">
        <v>48</v>
      </c>
      <c r="L19" s="33" t="s">
        <v>66</v>
      </c>
      <c r="M19" s="35" t="s">
        <v>67</v>
      </c>
      <c r="N19" s="27" t="s">
        <v>68</v>
      </c>
      <c r="O19" s="55"/>
      <c r="P19" s="48">
        <v>2019</v>
      </c>
      <c r="Q19" s="26" t="s">
        <v>43</v>
      </c>
      <c r="R19" s="33" t="s">
        <v>48</v>
      </c>
      <c r="S19" s="33" t="s">
        <v>66</v>
      </c>
      <c r="T19" s="35" t="s">
        <v>67</v>
      </c>
      <c r="U19" s="27" t="s">
        <v>68</v>
      </c>
      <c r="V19" s="55"/>
    </row>
    <row r="20" spans="1:22" x14ac:dyDescent="0.25">
      <c r="A20" s="55"/>
      <c r="B20" s="43" t="s">
        <v>55</v>
      </c>
      <c r="C20" s="14">
        <f>'belasting eenmanszaak'!D3</f>
        <v>120000</v>
      </c>
      <c r="D20" s="34">
        <f>'belasting bv 1'!C3+'belasting bv 1'!D9/personen</f>
        <v>105000</v>
      </c>
      <c r="E20" s="34">
        <f>'belasting bv 2'!D3+'belasting bv 2'!D9/personen</f>
        <v>102000</v>
      </c>
      <c r="F20" s="36">
        <f>'belasting bv 3'!D3</f>
        <v>120000</v>
      </c>
      <c r="G20" s="28">
        <f>'belasting bv 4'!D3+'belasting bv 4'!D9/personen</f>
        <v>96000</v>
      </c>
      <c r="H20" s="55"/>
      <c r="I20" s="43" t="s">
        <v>57</v>
      </c>
      <c r="J20" s="14">
        <f>'belasting eenmanszaak'!D2</f>
        <v>120000</v>
      </c>
      <c r="K20" s="34">
        <f>'belasting bv 1'!D4</f>
        <v>75000</v>
      </c>
      <c r="L20" s="34">
        <f>'belasting bv 2'!D4</f>
        <v>90000</v>
      </c>
      <c r="M20" s="36">
        <f>'belasting bv 3'!J4</f>
        <v>0</v>
      </c>
      <c r="N20" s="28">
        <f>'belasting bv 4'!D4</f>
        <v>120000</v>
      </c>
      <c r="O20" s="55"/>
      <c r="P20" s="43" t="s">
        <v>57</v>
      </c>
      <c r="Q20" s="14">
        <f>winst</f>
        <v>120000</v>
      </c>
      <c r="R20" s="34">
        <f>winst</f>
        <v>120000</v>
      </c>
      <c r="S20" s="34">
        <f>winst</f>
        <v>120000</v>
      </c>
      <c r="T20" s="36">
        <f>winst</f>
        <v>120000</v>
      </c>
      <c r="U20" s="28">
        <f>winst</f>
        <v>120000</v>
      </c>
      <c r="V20" s="55"/>
    </row>
    <row r="21" spans="1:22" x14ac:dyDescent="0.25">
      <c r="A21" s="55"/>
      <c r="B21" s="24" t="s">
        <v>37</v>
      </c>
      <c r="C21" s="14">
        <f>'belasting eenmanszaak'!D28</f>
        <v>37375</v>
      </c>
      <c r="D21" s="34">
        <f>'belasting bv 1'!D30</f>
        <v>27810</v>
      </c>
      <c r="E21" s="34">
        <f>'belasting bv 2'!D30</f>
        <v>23751</v>
      </c>
      <c r="F21" s="36">
        <f>'belasting bv 3'!D30</f>
        <v>52365</v>
      </c>
      <c r="G21" s="28">
        <f>'belasting bv 4'!D30</f>
        <v>24000</v>
      </c>
      <c r="H21" s="55"/>
      <c r="I21" s="24" t="s">
        <v>41</v>
      </c>
      <c r="J21" s="14">
        <f>'belasting eenmanszaak'!D31</f>
        <v>37375</v>
      </c>
      <c r="K21" s="34">
        <f>'belasting bv 1'!D8</f>
        <v>15000</v>
      </c>
      <c r="L21" s="34">
        <f>'belasting bv 2'!D32</f>
        <v>18000</v>
      </c>
      <c r="M21" s="36">
        <f>'belasting bv 3'!D8</f>
        <v>0</v>
      </c>
      <c r="N21" s="28">
        <f>'belasting bv 4'!D8</f>
        <v>24000</v>
      </c>
      <c r="O21" s="55"/>
      <c r="P21" s="24" t="s">
        <v>41</v>
      </c>
      <c r="Q21" s="14">
        <f>'belasting eenmanszaak'!D31</f>
        <v>37375</v>
      </c>
      <c r="R21" s="34">
        <f>'belasting bv 1'!D34</f>
        <v>42810</v>
      </c>
      <c r="S21" s="34">
        <f>'belasting bv 2'!D34</f>
        <v>41751</v>
      </c>
      <c r="T21" s="36">
        <f>'belasting bv 3'!D34</f>
        <v>52365</v>
      </c>
      <c r="U21" s="28">
        <f>'belasting bv 4'!D34</f>
        <v>48000</v>
      </c>
      <c r="V21" s="55"/>
    </row>
    <row r="22" spans="1:22" x14ac:dyDescent="0.25">
      <c r="A22" s="55"/>
      <c r="B22" s="44" t="s">
        <v>56</v>
      </c>
      <c r="C22" s="49">
        <f>C20-C21</f>
        <v>82625</v>
      </c>
      <c r="D22" s="45">
        <f>D20-D21</f>
        <v>77190</v>
      </c>
      <c r="E22" s="45">
        <f>E20-E21</f>
        <v>78249</v>
      </c>
      <c r="F22" s="46">
        <f>F20-F21</f>
        <v>67635</v>
      </c>
      <c r="G22" s="47">
        <f>G20-G21</f>
        <v>72000</v>
      </c>
      <c r="H22" s="55"/>
      <c r="I22" s="44" t="s">
        <v>58</v>
      </c>
      <c r="J22" s="49">
        <f>J20-J21</f>
        <v>82625</v>
      </c>
      <c r="K22" s="45">
        <f>K20-K21</f>
        <v>60000</v>
      </c>
      <c r="L22" s="45">
        <f>L20-L21</f>
        <v>72000</v>
      </c>
      <c r="M22" s="46">
        <f>M20-M21</f>
        <v>0</v>
      </c>
      <c r="N22" s="47">
        <f>N20-N21</f>
        <v>96000</v>
      </c>
      <c r="O22" s="55"/>
      <c r="P22" s="44" t="s">
        <v>58</v>
      </c>
      <c r="Q22" s="49">
        <f>Q20-Q21</f>
        <v>82625</v>
      </c>
      <c r="R22" s="45">
        <f>R20-R21</f>
        <v>77190</v>
      </c>
      <c r="S22" s="45">
        <f>S20-S21</f>
        <v>78249</v>
      </c>
      <c r="T22" s="46">
        <f>T20-T21</f>
        <v>67635</v>
      </c>
      <c r="U22" s="47">
        <f>U20-U21</f>
        <v>72000</v>
      </c>
      <c r="V22" s="55"/>
    </row>
    <row r="23" spans="1:22" ht="15.75" thickBot="1" x14ac:dyDescent="0.3">
      <c r="A23" s="55"/>
      <c r="B23" s="25" t="s">
        <v>24</v>
      </c>
      <c r="C23" s="50">
        <f>C21/C20</f>
        <v>0.31145833333333334</v>
      </c>
      <c r="D23" s="51">
        <f>D21/D20</f>
        <v>0.26485714285714285</v>
      </c>
      <c r="E23" s="53">
        <f>E21/E20</f>
        <v>0.2328529411764706</v>
      </c>
      <c r="F23" s="50">
        <f>F21/F20</f>
        <v>0.43637500000000001</v>
      </c>
      <c r="G23" s="52">
        <f>G21/G20</f>
        <v>0.25</v>
      </c>
      <c r="H23" s="55"/>
      <c r="I23" s="25" t="s">
        <v>24</v>
      </c>
      <c r="J23" s="50">
        <f>J21/J20</f>
        <v>0.31145833333333334</v>
      </c>
      <c r="K23" s="51">
        <f>IFERROR(K21/K20,0)</f>
        <v>0.2</v>
      </c>
      <c r="L23" s="51">
        <f>IFERROR(L21/L20,0)</f>
        <v>0.2</v>
      </c>
      <c r="M23" s="50">
        <f>IFERROR(M21/M20,0)</f>
        <v>0</v>
      </c>
      <c r="N23" s="52">
        <f>N21/N20</f>
        <v>0.2</v>
      </c>
      <c r="O23" s="55"/>
      <c r="P23" s="25" t="s">
        <v>24</v>
      </c>
      <c r="Q23" s="50">
        <f>Q21/Q20</f>
        <v>0.31145833333333334</v>
      </c>
      <c r="R23" s="51">
        <f>IFERROR(R21/R20,0)</f>
        <v>0.35675000000000001</v>
      </c>
      <c r="S23" s="53">
        <f>S21/S20</f>
        <v>0.34792499999999998</v>
      </c>
      <c r="T23" s="50">
        <f>IFERROR(T21/T20,0)</f>
        <v>0.43637500000000001</v>
      </c>
      <c r="U23" s="52">
        <f>U21/U20</f>
        <v>0.4</v>
      </c>
      <c r="V23" s="55"/>
    </row>
    <row r="24" spans="1:22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x14ac:dyDescent="0.25">
      <c r="E25" s="60"/>
    </row>
    <row r="26" spans="1:22" x14ac:dyDescent="0.25">
      <c r="C26" s="32" t="s">
        <v>44</v>
      </c>
      <c r="J26" s="32"/>
      <c r="O26" s="32"/>
      <c r="Q26" s="32"/>
      <c r="S26" s="60"/>
    </row>
    <row r="27" spans="1:22" x14ac:dyDescent="0.25">
      <c r="C27" s="32" t="s">
        <v>45</v>
      </c>
      <c r="J27" s="32"/>
      <c r="O27" s="32"/>
      <c r="Q27" s="32"/>
    </row>
    <row r="28" spans="1:22" x14ac:dyDescent="0.25">
      <c r="C28" s="32" t="s">
        <v>46</v>
      </c>
      <c r="J28" s="32"/>
      <c r="O28" s="32"/>
      <c r="Q28" s="32"/>
    </row>
    <row r="29" spans="1:22" x14ac:dyDescent="0.25">
      <c r="C29" s="32" t="s">
        <v>47</v>
      </c>
      <c r="J29" s="32"/>
      <c r="O29" s="32"/>
      <c r="Q29" s="32"/>
    </row>
    <row r="31" spans="1:22" x14ac:dyDescent="0.25">
      <c r="C31" t="s">
        <v>73</v>
      </c>
    </row>
    <row r="35" spans="2:17" x14ac:dyDescent="0.25">
      <c r="B35" s="54" t="s">
        <v>61</v>
      </c>
      <c r="C35" s="54" t="s">
        <v>62</v>
      </c>
    </row>
    <row r="36" spans="2:17" ht="17.25" x14ac:dyDescent="0.25">
      <c r="B36" t="s">
        <v>74</v>
      </c>
      <c r="C36" t="s">
        <v>64</v>
      </c>
    </row>
    <row r="37" spans="2:17" ht="17.25" x14ac:dyDescent="0.25">
      <c r="B37" t="s">
        <v>77</v>
      </c>
      <c r="C37" t="s">
        <v>65</v>
      </c>
    </row>
    <row r="38" spans="2:17" ht="17.25" x14ac:dyDescent="0.25">
      <c r="B38" t="s">
        <v>76</v>
      </c>
      <c r="C38" t="s">
        <v>50</v>
      </c>
    </row>
    <row r="39" spans="2:17" ht="17.25" x14ac:dyDescent="0.25">
      <c r="B39" t="s">
        <v>75</v>
      </c>
      <c r="C39" t="s">
        <v>51</v>
      </c>
    </row>
    <row r="40" spans="2:17" ht="17.25" x14ac:dyDescent="0.25">
      <c r="B40" t="s">
        <v>49</v>
      </c>
      <c r="C40" t="s">
        <v>59</v>
      </c>
    </row>
    <row r="41" spans="2:17" x14ac:dyDescent="0.25">
      <c r="B41" t="s">
        <v>63</v>
      </c>
      <c r="C41" t="s">
        <v>60</v>
      </c>
    </row>
    <row r="43" spans="2:17" x14ac:dyDescent="0.25">
      <c r="I43" s="54"/>
      <c r="J43" s="54"/>
      <c r="P43" s="54"/>
      <c r="Q43" s="54"/>
    </row>
  </sheetData>
  <sheetProtection sheet="1" selectLockedCells="1"/>
  <mergeCells count="3">
    <mergeCell ref="B6:G6"/>
    <mergeCell ref="I6:N6"/>
    <mergeCell ref="P6:U6"/>
  </mergeCells>
  <phoneticPr fontId="6" type="noConversion"/>
  <conditionalFormatting sqref="C8:G8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G9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G10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G11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G1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G15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G1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G20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G2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G22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G17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:N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:N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:N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:N1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:N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:N1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6:N1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:N2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:N2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2:N2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:N1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3:N2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:U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:U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:U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:U1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4:U1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:U1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6:U1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:R20 T20:U2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:U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2:U2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:U1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U2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26" r:id="rId1" xr:uid="{D75EC581-1031-40B3-A27A-8CF0CDB356F0}"/>
    <hyperlink ref="C27" r:id="rId2" xr:uid="{3EDB4E4C-1097-4A12-8991-1A544ED4B474}"/>
    <hyperlink ref="C28" r:id="rId3" xr:uid="{B37C94A0-06C0-47BB-A87F-26449004967D}"/>
    <hyperlink ref="C29" r:id="rId4" xr:uid="{C5C852D5-78D0-4489-93FA-3C1A88066F6D}"/>
  </hyperlinks>
  <pageMargins left="0.70866141732283472" right="0.70866141732283472" top="0.74803149606299213" bottom="0.74803149606299213" header="0.31496062992125984" footer="0.31496062992125984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Q10" sqref="Q10"/>
    </sheetView>
  </sheetViews>
  <sheetFormatPr defaultRowHeight="15" x14ac:dyDescent="0.25"/>
  <cols>
    <col min="1" max="1" width="38.85546875" bestFit="1" customWidth="1"/>
    <col min="2" max="4" width="15.7109375" customWidth="1"/>
  </cols>
  <sheetData>
    <row r="1" spans="1:4" x14ac:dyDescent="0.25">
      <c r="A1" s="16"/>
      <c r="B1" s="15">
        <v>2017</v>
      </c>
      <c r="C1" s="15">
        <v>2018</v>
      </c>
      <c r="D1" s="15">
        <v>2019</v>
      </c>
    </row>
    <row r="2" spans="1:4" x14ac:dyDescent="0.25">
      <c r="A2" s="17" t="s">
        <v>0</v>
      </c>
      <c r="B2" s="11">
        <f>winst</f>
        <v>120000</v>
      </c>
      <c r="C2" s="11">
        <f>winst</f>
        <v>120000</v>
      </c>
      <c r="D2" s="11">
        <f>winst</f>
        <v>120000</v>
      </c>
    </row>
    <row r="3" spans="1:4" x14ac:dyDescent="0.25">
      <c r="A3" s="17" t="s">
        <v>34</v>
      </c>
      <c r="B3" s="11">
        <f>B$2/personen</f>
        <v>120000</v>
      </c>
      <c r="C3" s="11">
        <f>C$2/personen</f>
        <v>120000</v>
      </c>
      <c r="D3" s="11">
        <f>D$2/personen</f>
        <v>120000</v>
      </c>
    </row>
    <row r="4" spans="1:4" x14ac:dyDescent="0.25">
      <c r="A4" s="16" t="s">
        <v>2</v>
      </c>
      <c r="B4" s="9">
        <f>MIN(ROUNDDOWN(B$3*VLOOKUP($A4,tabel_aftrek,2,0),0),FOR_max_2017)</f>
        <v>8946</v>
      </c>
      <c r="C4" s="9">
        <f>MIN(ROUNDDOWN(C$3*VLOOKUP($A4,tabel_aftrek,4,0),0),FOR_max_2018)</f>
        <v>8946</v>
      </c>
      <c r="D4" s="9">
        <f>MIN(ROUNDDOWN(D$3*VLOOKUP($A4,tabel_aftrek,6,0),0),FOR_max_2019)</f>
        <v>8999</v>
      </c>
    </row>
    <row r="5" spans="1:4" x14ac:dyDescent="0.25">
      <c r="A5" s="17" t="s">
        <v>22</v>
      </c>
      <c r="B5" s="10">
        <f>B$3-B$4</f>
        <v>111054</v>
      </c>
      <c r="C5" s="10">
        <f>C$3-C$4</f>
        <v>111054</v>
      </c>
      <c r="D5" s="10">
        <f>D$3-D$4</f>
        <v>111001</v>
      </c>
    </row>
    <row r="6" spans="1:4" x14ac:dyDescent="0.25">
      <c r="A6" s="21" t="s">
        <v>4</v>
      </c>
      <c r="B6" s="9">
        <f>VLOOKUP($A6,tabel_aftrek,2,0)</f>
        <v>7280</v>
      </c>
      <c r="C6" s="9">
        <f>VLOOKUP($A6,tabel_aftrek,4,0)</f>
        <v>7280</v>
      </c>
      <c r="D6" s="9">
        <f>VLOOKUP($A6,tabel_aftrek,6,0)</f>
        <v>7280</v>
      </c>
    </row>
    <row r="7" spans="1:4" x14ac:dyDescent="0.25">
      <c r="A7" s="20" t="s">
        <v>23</v>
      </c>
      <c r="B7" s="10">
        <f>B$5-B$6</f>
        <v>103774</v>
      </c>
      <c r="C7" s="10">
        <f>C$5-C$6</f>
        <v>103774</v>
      </c>
      <c r="D7" s="10">
        <f>D$5-D$6</f>
        <v>103721</v>
      </c>
    </row>
    <row r="8" spans="1:4" x14ac:dyDescent="0.25">
      <c r="A8" s="16" t="s">
        <v>3</v>
      </c>
      <c r="B8" s="9">
        <f>ROUND(B$7*VLOOKUP($A8,tabel_aftrek,2,0),0)</f>
        <v>14528</v>
      </c>
      <c r="C8" s="9">
        <f>ROUND(C$7*VLOOKUP($A8,tabel_aftrek,4,0),0)</f>
        <v>14528</v>
      </c>
      <c r="D8" s="9">
        <f>ROUND(D$7*VLOOKUP($A8,tabel_aftrek,6,0),0)</f>
        <v>14521</v>
      </c>
    </row>
    <row r="9" spans="1:4" x14ac:dyDescent="0.25">
      <c r="A9" s="17" t="s">
        <v>33</v>
      </c>
      <c r="B9" s="10">
        <f>B$7-B$8</f>
        <v>89246</v>
      </c>
      <c r="C9" s="10">
        <f>C$7-C$8</f>
        <v>89246</v>
      </c>
      <c r="D9" s="10">
        <f>D$7-D$8</f>
        <v>89200</v>
      </c>
    </row>
    <row r="10" spans="1:4" x14ac:dyDescent="0.25">
      <c r="A10" s="17"/>
      <c r="B10" s="10"/>
      <c r="C10" s="10"/>
      <c r="D10" s="10"/>
    </row>
    <row r="11" spans="1:4" x14ac:dyDescent="0.25">
      <c r="A11" s="18" t="s">
        <v>5</v>
      </c>
      <c r="B11" s="13">
        <f>ROUNDDOWN(IF(B$9&gt;VLOOKUP($A11,tabel_inkomsten,3,1),VLOOKUP($A11,tabel_inkomsten,3,1)*VLOOKUP($A11,tabel_inkomsten,2,1),B$9*VLOOKUP($A11,tabel_inkomsten,2,1)),0)</f>
        <v>1778</v>
      </c>
      <c r="C11" s="13">
        <f>ROUNDDOWN(IF(C$9&gt;VLOOKUP($A11,tabel_inkomsten,5,1),VLOOKUP($A11,tabel_inkomsten,5,1)*VLOOKUP($A11,tabel_inkomsten,4,1),C$9*VLOOKUP($A11,tabel_inkomsten,4,1)),0)</f>
        <v>1792</v>
      </c>
      <c r="D11" s="13">
        <f>ROUNDDOWN(IF(D$9&gt;VLOOKUP($A11,tabel_inkomsten,5,1),VLOOKUP($A11,tabel_inkomsten,5,1)*VLOOKUP($A11,tabel_inkomsten,4,1),D$9*VLOOKUP($A11,tabel_inkomsten,4,1)),0)</f>
        <v>1792</v>
      </c>
    </row>
    <row r="12" spans="1:4" x14ac:dyDescent="0.25">
      <c r="A12" s="18" t="s">
        <v>6</v>
      </c>
      <c r="B12" s="13">
        <f>ROUNDDOWN(IF(B$9&gt;VLOOKUP($A12,tabel_inkomsten,3,1),(VLOOKUP($A12,tabel_inkomsten,3,1)-VLOOKUP($A11,tabel_inkomsten,3,1))*VLOOKUP($A12,tabel_inkomsten,2,1),IF(B$9&gt;VLOOKUP($A11,tabel_inkomsten,3,1),(B$9-VLOOKUP($A11,tabel_inkomsten,3,1))*VLOOKUP($A12,tabel_inkomsten,2,1),0)),0)</f>
        <v>1815</v>
      </c>
      <c r="C12" s="13">
        <f>ROUNDDOWN(IF(C$9&gt;VLOOKUP($A12,tabel_inkomsten,5,1),(VLOOKUP($A12,tabel_inkomsten,5,1)-VLOOKUP($A11,tabel_inkomsten,5,1))*VLOOKUP($A12,tabel_inkomsten,4,1),IF(C$9&gt;VLOOKUP($A11,tabel_inkomsten,5,1),(C$9-VLOOKUP($A11,tabel_inkomsten,5,1))*VLOOKUP($A12,tabel_inkomsten,4,1),0)),0)</f>
        <v>1828</v>
      </c>
      <c r="D12" s="13">
        <f>ROUNDDOWN(IF(D$9&gt;VLOOKUP($A12,tabel_inkomsten,5,1),(VLOOKUP($A12,tabel_inkomsten,5,1)-VLOOKUP($A11,tabel_inkomsten,5,1))*VLOOKUP($A12,tabel_inkomsten,4,1),IF(D$9&gt;VLOOKUP($A11,tabel_inkomsten,5,1),(D$9-VLOOKUP($A11,tabel_inkomsten,5,1))*VLOOKUP($A12,tabel_inkomsten,4,1),0)),0)</f>
        <v>1828</v>
      </c>
    </row>
    <row r="13" spans="1:4" x14ac:dyDescent="0.25">
      <c r="A13" s="18" t="s">
        <v>7</v>
      </c>
      <c r="B13" s="13">
        <f>ROUNDDOWN(IF(B$9&gt;VLOOKUP($A13,tabel_inkomsten,3,1),(VLOOKUP($A13,tabel_inkomsten,3,1)-VLOOKUP($A12,tabel_inkomsten,3,1))*VLOOKUP($A13,tabel_inkomsten,2,1),IF(B$9&gt;VLOOKUP($A12,tabel_inkomsten,3,1),(B$9-VLOOKUP($A12,tabel_inkomsten,3,1))*VLOOKUP($A13,tabel_inkomsten,2,1),0)),0)</f>
        <v>13578</v>
      </c>
      <c r="C13" s="13">
        <f>ROUNDDOWN(IF(C$9&gt;VLOOKUP($A13,tabel_inkomsten,5,1),(VLOOKUP($A13,tabel_inkomsten,5,1)-VLOOKUP($A12,tabel_inkomsten,5,1))*VLOOKUP($A13,tabel_inkomsten,4,1),IF(C$9&gt;VLOOKUP($A12,tabel_inkomsten,5,1),(C$9-VLOOKUP($A12,tabel_inkomsten,5,1))*VLOOKUP($A13,tabel_inkomsten,4,1),0)),0)</f>
        <v>14098</v>
      </c>
      <c r="D13" s="13">
        <f>ROUNDDOWN(IF(D$9&gt;VLOOKUP($A13,tabel_inkomsten,5,1),(VLOOKUP($A13,tabel_inkomsten,5,1)-VLOOKUP($A12,tabel_inkomsten,5,1))*VLOOKUP($A13,tabel_inkomsten,4,1),IF(D$9&gt;VLOOKUP($A12,tabel_inkomsten,5,1),(D$9-VLOOKUP($A12,tabel_inkomsten,5,1))*VLOOKUP($A13,tabel_inkomsten,4,1),0)),0)</f>
        <v>14098</v>
      </c>
    </row>
    <row r="14" spans="1:4" x14ac:dyDescent="0.25">
      <c r="A14" s="18" t="s">
        <v>8</v>
      </c>
      <c r="B14" s="13">
        <f>ROUNDDOWN(IF(AND(B$9&gt;VLOOKUP($A13,tabel_inkomsten,3,1),B$13&gt;0),(B$9-VLOOKUP($A13,tabel_inkomsten,3,1))*VLOOKUP($A14,tabel_inkomsten,2,1),0),0)</f>
        <v>11530</v>
      </c>
      <c r="C14" s="13">
        <f>ROUNDDOWN(IF(AND(C$9&gt;VLOOKUP($A13,tabel_inkomsten,5,1),C$13&gt;0),(C$9-VLOOKUP($A13,tabel_inkomsten,5,1))*VLOOKUP($A14,tabel_inkomsten,4,1),0),0)</f>
        <v>10774</v>
      </c>
      <c r="D14" s="13">
        <f>ROUNDDOWN(IF(AND(D$9&gt;VLOOKUP($A13,tabel_inkomsten,5,1),D$13&gt;0),(D$9-VLOOKUP($A13,tabel_inkomsten,5,1))*VLOOKUP($A14,tabel_inkomsten,4,1),0),0)</f>
        <v>10750</v>
      </c>
    </row>
    <row r="15" spans="1:4" x14ac:dyDescent="0.25">
      <c r="A15" s="18" t="s">
        <v>9</v>
      </c>
      <c r="B15" s="13">
        <f>ROUNDDOWN(IF(B$9&gt;VLOOKUP($A15,tabel_verzekering,3,1),VLOOKUP($A15,tabel_verzekering,3,1)*VLOOKUP($A15,tabel_verzekering,2,1),B$9*VLOOKUP($A15,tabel_verzekering,2,1)),0)</f>
        <v>5525</v>
      </c>
      <c r="C15" s="13">
        <f>ROUNDDOWN(IF(C$9&gt;VLOOKUP($A15,tabel_verzekering,5,1),VLOOKUP($A15,tabel_verzekering,5,1)*VLOOKUP($A15,tabel_verzekering,4,1),C$9*VLOOKUP($A15,tabel_verzekering,4,1)),0)</f>
        <v>5568</v>
      </c>
      <c r="D15" s="13">
        <f>ROUNDDOWN(IF(D$9&gt;VLOOKUP($A15,tabel_verzekering,5,1),VLOOKUP($A15,tabel_verzekering,5,1)*VLOOKUP($A15,tabel_verzekering,4,1),D$9*VLOOKUP($A15,tabel_verzekering,4,1)),0)</f>
        <v>5568</v>
      </c>
    </row>
    <row r="16" spans="1:4" x14ac:dyDescent="0.25">
      <c r="A16" s="18" t="s">
        <v>10</v>
      </c>
      <c r="B16" s="13">
        <f>ROUNDDOWN(IF(B$9&gt;VLOOKUP($A16,tabel_verzekering,3,1),(VLOOKUP($A16,tabel_verzekering,3,1)-VLOOKUP($A15,tabel_verzekering,3,1))*VLOOKUP($A16,tabel_verzekering,2,1),IF(B$9&gt;VLOOKUP($A15,tabel_verzekering,3,1),(B$9-VLOOKUP($A15,tabel_verzekering,3,1))*VLOOKUP($A16,tabel_verzekering,2,1),0)),0)</f>
        <v>3818</v>
      </c>
      <c r="C16" s="13">
        <f>ROUNDDOWN(IF(C$9&gt;VLOOKUP($A16,tabel_verzekering,5,1),(VLOOKUP($A16,tabel_verzekering,5,1)-VLOOKUP($A15,tabel_verzekering,5,1))*VLOOKUP($A16,tabel_verzekering,4,1),IF(C$9&gt;VLOOKUP($A15,tabel_verzekering,5,1),(C$9-VLOOKUP($A15,tabel_verzekering,5,1))*VLOOKUP($A16,tabel_verzekering,4,1),0)),0)</f>
        <v>3830</v>
      </c>
      <c r="D16" s="13">
        <f>ROUNDDOWN(IF(D$9&gt;VLOOKUP($A16,tabel_verzekering,5,1),(VLOOKUP($A16,tabel_verzekering,5,1)-VLOOKUP($A15,tabel_verzekering,5,1))*VLOOKUP($A16,tabel_verzekering,4,1),IF(D$9&gt;VLOOKUP($A15,tabel_verzekering,5,1),(D$9-VLOOKUP($A15,tabel_verzekering,5,1))*VLOOKUP($A16,tabel_verzekering,4,1),0)),0)</f>
        <v>3830</v>
      </c>
    </row>
    <row r="17" spans="1:4" x14ac:dyDescent="0.25">
      <c r="A17" s="17" t="s">
        <v>40</v>
      </c>
      <c r="B17" s="10">
        <f>SUM(B$11:B$16)</f>
        <v>38044</v>
      </c>
      <c r="C17" s="10">
        <f>SUM(C$11:C$16)</f>
        <v>37890</v>
      </c>
      <c r="D17" s="10">
        <f>SUM(D$11:D$16)</f>
        <v>37866</v>
      </c>
    </row>
    <row r="18" spans="1:4" x14ac:dyDescent="0.25">
      <c r="A18" s="17"/>
      <c r="B18" s="10"/>
      <c r="C18" s="10"/>
      <c r="D18" s="10"/>
    </row>
    <row r="19" spans="1:4" x14ac:dyDescent="0.25">
      <c r="A19" s="18" t="s">
        <v>17</v>
      </c>
      <c r="B19" s="13">
        <f>IF(B$9&gt;VLOOKUP($A19,tabel_hefkorting,3,1),0,VLOOKUP($A19,tabel_hefkorting,2,1))</f>
        <v>0</v>
      </c>
      <c r="C19" s="13">
        <f>IF(C$9&gt;VLOOKUP($A19,tabel_hefkorting,5,1),0,VLOOKUP($A19,tabel_hefkorting,4,1))</f>
        <v>0</v>
      </c>
      <c r="D19" s="13">
        <f>IF(D$9&gt;VLOOKUP($A19,tabel_hefkorting,5,1),0,VLOOKUP($A19,tabel_hefkorting,4,1))</f>
        <v>0</v>
      </c>
    </row>
    <row r="20" spans="1:4" x14ac:dyDescent="0.25">
      <c r="A20" s="18" t="s">
        <v>18</v>
      </c>
      <c r="B20" s="13">
        <f>ROUNDDOWN(IF(B$9&gt;VLOOKUP($A20,tabel_hefkorting,3,1),0,IF(B$9&gt;VLOOKUP($A19,tabel_hefkorting,3,1),(B$9-VLOOKUP($A19,tabel_hefkorting,3,1))*-VLOOKUP($A20,tabel_hefkorting,2,1)+VLOOKUP($A19,tabel_hefkorting,2,1),0)),0)</f>
        <v>0</v>
      </c>
      <c r="C20" s="13">
        <f>ROUNDDOWN(IF(C$9&gt;VLOOKUP($A20,tabel_hefkorting,5,1),0,IF(C$9&gt;VLOOKUP($A19,tabel_hefkorting,5,1),(C$9-VLOOKUP($A19,tabel_hefkorting,5,1))*-VLOOKUP($A20,tabel_hefkorting,4,1)+VLOOKUP($A19,tabel_hefkorting,4,1),0)),0)</f>
        <v>0</v>
      </c>
      <c r="D20" s="13">
        <f>ROUNDDOWN(IF(D$9&gt;VLOOKUP($A20,tabel_hefkorting,7,1),0,IF(D$9&gt;VLOOKUP($A19,tabel_hefkorting,7,1),(D$9-VLOOKUP($A19,tabel_hefkorting,7,1))*-VLOOKUP($A20,tabel_hefkorting,6,1)+VLOOKUP($A19,tabel_hefkorting,6,1),0)),0)</f>
        <v>0</v>
      </c>
    </row>
    <row r="21" spans="1:4" x14ac:dyDescent="0.25">
      <c r="A21" s="18" t="s">
        <v>19</v>
      </c>
      <c r="B21" s="13"/>
      <c r="C21" s="13"/>
      <c r="D21" s="13"/>
    </row>
    <row r="22" spans="1:4" x14ac:dyDescent="0.25">
      <c r="A22" s="18" t="s">
        <v>12</v>
      </c>
      <c r="B22" s="13">
        <f>ROUNDDOWN(IF(B$5&gt;VLOOKUP($A22,tabel_arbeidskorting,3,1),0,B$5*VLOOKUP($A22,tabel_arbeidskorting,2,1)),0)</f>
        <v>0</v>
      </c>
      <c r="C22" s="13">
        <f>ROUNDDOWN(IF(C$5&gt;VLOOKUP($A22,tabel_arbeidskorting,5,1),0,C$5*VLOOKUP($A22,tabel_arbeidskorting,4,1)),0)</f>
        <v>0</v>
      </c>
      <c r="D22" s="13">
        <f>ROUNDDOWN(IF(D$5&gt;VLOOKUP($A22,tabel_arbeidskorting,5,1),0,D$5*VLOOKUP($A22,tabel_arbeidskorting,4,1)),0)</f>
        <v>0</v>
      </c>
    </row>
    <row r="23" spans="1:4" x14ac:dyDescent="0.25">
      <c r="A23" s="18" t="s">
        <v>13</v>
      </c>
      <c r="B23" s="13">
        <f>ROUNDDOWN(IF(B$5&gt;VLOOKUP($A23,tabel_arbeidskorting,3,1),0,IF(B$5&gt;VLOOKUP($A23,tabel_arbeidskorting,3,1),(B$5-VLOOKUP($A23,tabel_arbeidskorting,3,1))*VLOOKUP($A23,tabel_arbeidskorting,2,1),0)),0)</f>
        <v>0</v>
      </c>
      <c r="C23" s="13">
        <f>ROUNDDOWN(IF(C$5&gt;VLOOKUP($A23,tabel_arbeidskorting,3,1),0,IF(C$5&gt;VLOOKUP($A23,tabel_arbeidskorting,3,1),(C$5-VLOOKUP($A23,tabel_arbeidskorting,3,1))*VLOOKUP($A23,tabel_arbeidskorting,2,1),0)),0)</f>
        <v>0</v>
      </c>
      <c r="D23" s="13">
        <f>ROUNDDOWN(IF(D$5&gt;VLOOKUP($A23,tabel_arbeidskorting,3,1),0,IF(D$5&gt;VLOOKUP($A23,tabel_arbeidskorting,3,1),(D$5-VLOOKUP($A23,tabel_arbeidskorting,3,1))*VLOOKUP($A23,tabel_arbeidskorting,2,1),0)),0)</f>
        <v>0</v>
      </c>
    </row>
    <row r="24" spans="1:4" x14ac:dyDescent="0.25">
      <c r="A24" s="18" t="s">
        <v>14</v>
      </c>
      <c r="B24" s="13">
        <f>ROUNDDOWN(IF(B$5&gt;VLOOKUP($A24,tabel_arbeidskorting,3,1),0,VLOOKUP($A24,tabel_arbeidskorting,2,1)),0)</f>
        <v>0</v>
      </c>
      <c r="C24" s="13">
        <f>ROUNDDOWN(IF(C$5&gt;VLOOKUP($A24,tabel_arbeidskorting,5,1),0,VLOOKUP($A24,tabel_arbeidskorting,4,1)),0)</f>
        <v>0</v>
      </c>
      <c r="D24" s="13">
        <f>ROUNDDOWN(IF(D$5&gt;VLOOKUP($A24,tabel_arbeidskorting,5,1),0,VLOOKUP($A24,tabel_arbeidskorting,4,1)),0)</f>
        <v>0</v>
      </c>
    </row>
    <row r="25" spans="1:4" x14ac:dyDescent="0.25">
      <c r="A25" s="18" t="s">
        <v>15</v>
      </c>
      <c r="B25" s="13">
        <f>ROUNDDOWN(IF(B$5&gt;VLOOKUP($A25,tabel_arbeidskorting,3,1),0,IF(B$5&gt;VLOOKUP($A24,tabel_arbeidskorting,3,1),VLOOKUP($A24,tabel_arbeidskorting,2,1)-(B$5-VLOOKUP($A24,tabel_arbeidskorting,3,1))*VLOOKUP($A25,tabel_arbeidskorting,2,1),0)),0)</f>
        <v>393</v>
      </c>
      <c r="C25" s="13">
        <f>ROUNDDOWN(IF(C$5&gt;VLOOKUP($A25,tabel_arbeidskorting,5,1),0,IF(C$5&gt;VLOOKUP($A24,tabel_arbeidskorting,5,1),VLOOKUP($A24,tabel_arbeidskorting,4,1)-(C$5-VLOOKUP($A24,tabel_arbeidskorting,5,1))*VLOOKUP($A25,tabel_arbeidskorting,4,1),0)),0)</f>
        <v>443</v>
      </c>
      <c r="D25" s="13">
        <f>ROUNDDOWN(IF(D$5&gt;VLOOKUP($A25,tabel_arbeidskorting,5,1),0,IF(D$5&gt;VLOOKUP($A24,tabel_arbeidskorting,5,1),VLOOKUP($A24,tabel_arbeidskorting,4,1)-(D$5-VLOOKUP($A24,tabel_arbeidskorting,5,1))*VLOOKUP($A25,tabel_arbeidskorting,4,1),0)),0)</f>
        <v>444</v>
      </c>
    </row>
    <row r="26" spans="1:4" s="12" customFormat="1" x14ac:dyDescent="0.25">
      <c r="A26" s="18" t="s">
        <v>16</v>
      </c>
      <c r="B26" s="13"/>
      <c r="C26" s="13"/>
      <c r="D26" s="13"/>
    </row>
    <row r="27" spans="1:4" x14ac:dyDescent="0.25">
      <c r="A27" s="16" t="s">
        <v>39</v>
      </c>
      <c r="B27" s="9">
        <f>SUM(B$19:B$26)</f>
        <v>393</v>
      </c>
      <c r="C27" s="9">
        <f>SUM(C$19:C$26)</f>
        <v>443</v>
      </c>
      <c r="D27" s="9">
        <f>SUM(D$19:D$26)</f>
        <v>444</v>
      </c>
    </row>
    <row r="28" spans="1:4" x14ac:dyDescent="0.25">
      <c r="A28" s="17" t="s">
        <v>37</v>
      </c>
      <c r="B28" s="10">
        <f>MAX(B$17-B$27-Nihil_2017,0)</f>
        <v>37605</v>
      </c>
      <c r="C28" s="10">
        <f>MAX(C$17-C$27-Nihil_2018,0)</f>
        <v>37400</v>
      </c>
      <c r="D28" s="10">
        <f>MAX(D$17-D$27-Nihil_2019,0)</f>
        <v>37375</v>
      </c>
    </row>
    <row r="29" spans="1:4" x14ac:dyDescent="0.25">
      <c r="A29" s="17"/>
      <c r="B29" s="10"/>
      <c r="C29" s="10"/>
      <c r="D29" s="10"/>
    </row>
    <row r="30" spans="1:4" x14ac:dyDescent="0.25">
      <c r="A30" s="16" t="s">
        <v>42</v>
      </c>
      <c r="B30" s="9">
        <f>B$28*personen</f>
        <v>37605</v>
      </c>
      <c r="C30" s="9">
        <f>C$28*personen</f>
        <v>37400</v>
      </c>
      <c r="D30" s="9">
        <f>D$28*personen</f>
        <v>37375</v>
      </c>
    </row>
    <row r="31" spans="1:4" x14ac:dyDescent="0.25">
      <c r="A31" s="17" t="s">
        <v>41</v>
      </c>
      <c r="B31" s="14">
        <f>B$30</f>
        <v>37605</v>
      </c>
      <c r="C31" s="14">
        <f>C$30</f>
        <v>37400</v>
      </c>
      <c r="D31" s="14">
        <f>D$30</f>
        <v>37375</v>
      </c>
    </row>
    <row r="32" spans="1:4" x14ac:dyDescent="0.25">
      <c r="A32" s="20" t="s">
        <v>24</v>
      </c>
      <c r="B32" s="19">
        <f>IFERROR(B$31/winst,0)</f>
        <v>0.31337500000000001</v>
      </c>
      <c r="C32" s="19">
        <f>IFERROR(C$31/winst,0)</f>
        <v>0.31166666666666665</v>
      </c>
      <c r="D32" s="19">
        <f>IFERROR(D$31/winst,0)</f>
        <v>0.31145833333333334</v>
      </c>
    </row>
  </sheetData>
  <sheetProtection sheet="1"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workbookViewId="0">
      <selection activeCell="I16" sqref="I16"/>
    </sheetView>
  </sheetViews>
  <sheetFormatPr defaultRowHeight="15" x14ac:dyDescent="0.25"/>
  <cols>
    <col min="1" max="1" width="38.85546875" bestFit="1" customWidth="1"/>
    <col min="2" max="4" width="15.7109375" customWidth="1"/>
  </cols>
  <sheetData>
    <row r="1" spans="1:4" x14ac:dyDescent="0.25">
      <c r="A1" s="16"/>
      <c r="B1" s="15">
        <v>2017</v>
      </c>
      <c r="C1" s="15">
        <v>2018</v>
      </c>
      <c r="D1" s="15">
        <v>2019</v>
      </c>
    </row>
    <row r="2" spans="1:4" x14ac:dyDescent="0.25">
      <c r="A2" s="17" t="s">
        <v>0</v>
      </c>
      <c r="B2" s="11">
        <f>winst</f>
        <v>120000</v>
      </c>
      <c r="C2" s="11">
        <f>winst</f>
        <v>120000</v>
      </c>
      <c r="D2" s="11">
        <f>winst</f>
        <v>120000</v>
      </c>
    </row>
    <row r="3" spans="1:4" x14ac:dyDescent="0.25">
      <c r="A3" s="16" t="s">
        <v>28</v>
      </c>
      <c r="B3" s="9">
        <f>IF(AND(DGA_salaris&lt;winst/personen,DGA_salaris&gt;DGA_2017),DGA_salaris,MIN(winst/personen,DGA_2017))</f>
        <v>45000</v>
      </c>
      <c r="C3" s="9">
        <f>IF(AND(DGA_salaris&lt;winst/personen,DGA_salaris&gt;DGA_2018),DGA_salaris,MIN(winst/personen,DGA_2018))</f>
        <v>45000</v>
      </c>
      <c r="D3" s="9">
        <f>IF(AND(DGA_salaris&lt;winst/personen,DGA_salaris&gt;DGA_2019),DGA_salaris,MIN(winst/personen,DGA_2019))</f>
        <v>45000</v>
      </c>
    </row>
    <row r="4" spans="1:4" x14ac:dyDescent="0.25">
      <c r="A4" s="17" t="s">
        <v>31</v>
      </c>
      <c r="B4" s="10">
        <f>winst-(B$3*personen)</f>
        <v>75000</v>
      </c>
      <c r="C4" s="10">
        <f>winst-(C$3*personen)</f>
        <v>75000</v>
      </c>
      <c r="D4" s="10">
        <f>winst-(D$3*personen)</f>
        <v>75000</v>
      </c>
    </row>
    <row r="5" spans="1:4" x14ac:dyDescent="0.25">
      <c r="A5" s="17"/>
      <c r="B5" s="10"/>
      <c r="C5" s="10"/>
      <c r="D5" s="10"/>
    </row>
    <row r="6" spans="1:4" x14ac:dyDescent="0.25">
      <c r="A6" s="18" t="s">
        <v>25</v>
      </c>
      <c r="B6" s="13">
        <f>ROUNDDOWN(IF(B$4&gt;VLOOKUP($A6,tabel_vennoot,3,1),VLOOKUP($A6,tabel_vennoot,3,1)*VLOOKUP($A6,tabel_vennoot,2,1),B$4*VLOOKUP($A6,tabel_vennoot,2,1)),0)</f>
        <v>15000</v>
      </c>
      <c r="C6" s="13">
        <f>ROUNDDOWN(IF(C$4&gt;VLOOKUP($A6,tabel_vennoot,5,1),VLOOKUP($A6,tabel_vennoot,5,1)*VLOOKUP($A6,tabel_vennoot,4,1),C$4*VLOOKUP($A6,tabel_vennoot,4,1)),0)</f>
        <v>15000</v>
      </c>
      <c r="D6" s="13">
        <f>ROUNDDOWN(IF(D$4&gt;VLOOKUP($A6,tabel_vennoot,7,1),VLOOKUP($A6,tabel_vennoot,7,1)*VLOOKUP($A6,tabel_vennoot,6,1),D$4*VLOOKUP($A6,tabel_vennoot,6,1)),0)</f>
        <v>15000</v>
      </c>
    </row>
    <row r="7" spans="1:4" x14ac:dyDescent="0.25">
      <c r="A7" s="18" t="s">
        <v>26</v>
      </c>
      <c r="B7" s="13">
        <f>ROUNDDOWN(IF(AND(B$4&gt;VLOOKUP($A6,tabel_vennoot,3,1),B$6&gt;0),(B$4-VLOOKUP($A6,tabel_vennoot,3,1))*VLOOKUP($A7,tabel_vennoot,2,1),0),0)</f>
        <v>0</v>
      </c>
      <c r="C7" s="13">
        <f>ROUNDDOWN(IF(AND(C$4&gt;VLOOKUP($A6,tabel_vennoot,5,1),C$6&gt;0),(C$4-VLOOKUP($A6,tabel_vennoot,5,1))*VLOOKUP($A7,tabel_vennoot,4,1),0),0)</f>
        <v>0</v>
      </c>
      <c r="D7" s="13">
        <f>ROUNDDOWN(IF(AND(D$4&gt;VLOOKUP($A6,tabel_vennoot,7,1),D$6&gt;0),(D$4-VLOOKUP($A6,tabel_vennoot,7,1))*VLOOKUP($A7,tabel_vennoot,6,1),0),0)</f>
        <v>0</v>
      </c>
    </row>
    <row r="8" spans="1:4" x14ac:dyDescent="0.25">
      <c r="A8" s="16" t="s">
        <v>36</v>
      </c>
      <c r="B8" s="9">
        <f>SUM(B$6:B$7)</f>
        <v>15000</v>
      </c>
      <c r="C8" s="9">
        <f>SUM(C$6:C$7)</f>
        <v>15000</v>
      </c>
      <c r="D8" s="9">
        <f>SUM(D$6:D$7)</f>
        <v>15000</v>
      </c>
    </row>
    <row r="9" spans="1:4" x14ac:dyDescent="0.25">
      <c r="A9" s="17" t="s">
        <v>32</v>
      </c>
      <c r="B9" s="10">
        <f>B$4-B$8</f>
        <v>60000</v>
      </c>
      <c r="C9" s="10">
        <f>C$4-C$8</f>
        <v>60000</v>
      </c>
      <c r="D9" s="10">
        <f>D$4-D$8</f>
        <v>60000</v>
      </c>
    </row>
    <row r="10" spans="1:4" x14ac:dyDescent="0.25">
      <c r="A10" s="17"/>
      <c r="B10" s="10"/>
      <c r="C10" s="10"/>
      <c r="D10" s="10"/>
    </row>
    <row r="11" spans="1:4" x14ac:dyDescent="0.25">
      <c r="A11" s="18" t="s">
        <v>5</v>
      </c>
      <c r="B11" s="13">
        <f>ROUNDDOWN(IF(B$3&gt;VLOOKUP($A11,tabel_inkomsten,3,1),VLOOKUP($A11,tabel_inkomsten,3,1)*VLOOKUP($A11,tabel_inkomsten,2,1),B$3*VLOOKUP($A11,tabel_inkomsten,2,1)),0)</f>
        <v>1778</v>
      </c>
      <c r="C11" s="13">
        <f>ROUNDDOWN(IF(C$3&gt;VLOOKUP($A11,tabel_inkomsten,5,1),VLOOKUP($A11,tabel_inkomsten,5,1)*VLOOKUP($A11,tabel_inkomsten,4,1),C$3*VLOOKUP($A11,tabel_inkomsten,4,1)),0)</f>
        <v>1792</v>
      </c>
      <c r="D11" s="13">
        <f>ROUNDDOWN(IF(D$3&gt;VLOOKUP($A11,tabel_inkomsten,7,1),VLOOKUP($A11,tabel_inkomsten,7,1)*VLOOKUP($A11,tabel_inkomsten,6,1),D$3*VLOOKUP($A11,tabel_inkomsten,6,1)),0)</f>
        <v>1834</v>
      </c>
    </row>
    <row r="12" spans="1:4" x14ac:dyDescent="0.25">
      <c r="A12" s="18" t="s">
        <v>6</v>
      </c>
      <c r="B12" s="13">
        <f>ROUNDDOWN(IF(B$3&gt;VLOOKUP($A12,tabel_inkomsten,3,1),(VLOOKUP($A12,tabel_inkomsten,3,1)-VLOOKUP($A11,tabel_inkomsten,3,1))*VLOOKUP($A12,tabel_inkomsten,2,1),IF(B$3&gt;VLOOKUP($A11,tabel_inkomsten,3,1),(B$3-VLOOKUP($A11,tabel_inkomsten,3,1))*VLOOKUP($A12,tabel_inkomsten,2,1),0)),0)</f>
        <v>1815</v>
      </c>
      <c r="C12" s="13">
        <f>ROUNDDOWN(IF(C$3&gt;VLOOKUP($A12,tabel_inkomsten,5,1),(VLOOKUP($A12,tabel_inkomsten,5,1)-VLOOKUP($A11,tabel_inkomsten,5,1))*VLOOKUP($A12,tabel_inkomsten,4,1),IF(C$3&gt;VLOOKUP($A11,tabel_inkomsten,5,1),(C$3-VLOOKUP($A11,tabel_inkomsten,5,1))*VLOOKUP($A12,tabel_inkomsten,4,1),0)),0)</f>
        <v>1828</v>
      </c>
      <c r="D12" s="13">
        <f>ROUNDDOWN(IF(D$3&gt;VLOOKUP($A12,tabel_inkomsten,7,1),(VLOOKUP($A12,tabel_inkomsten,7,1)-VLOOKUP($A11,tabel_inkomsten,7,1))*VLOOKUP($A12,tabel_inkomsten,6,1),IF(D$3&gt;VLOOKUP($A11,tabel_inkomsten,7,1),(D$3-VLOOKUP($A11,tabel_inkomsten,7,1))*VLOOKUP($A12,tabel_inkomsten,6,1),0)),0)</f>
        <v>1454</v>
      </c>
    </row>
    <row r="13" spans="1:4" x14ac:dyDescent="0.25">
      <c r="A13" s="18" t="s">
        <v>7</v>
      </c>
      <c r="B13" s="13">
        <f>ROUNDDOWN(IF(B$3&gt;VLOOKUP($A13,tabel_inkomsten,3,1),(VLOOKUP($A13,tabel_inkomsten,3,1)-VLOOKUP($A12,tabel_inkomsten,3,1))*VLOOKUP($A13,tabel_inkomsten,2,1),IF(B$3&gt;VLOOKUP($A12,tabel_inkomsten,3,1),(B$3-VLOOKUP($A12,tabel_inkomsten,3,1))*VLOOKUP($A13,tabel_inkomsten,2,1),0)),0)</f>
        <v>4573</v>
      </c>
      <c r="C13" s="13">
        <f>ROUNDDOWN(IF(C$3&gt;VLOOKUP($A13,tabel_inkomsten,5,1),(VLOOKUP($A13,tabel_inkomsten,5,1)-VLOOKUP($A12,tabel_inkomsten,5,1))*VLOOKUP($A13,tabel_inkomsten,4,1),IF(C$3&gt;VLOOKUP($A12,tabel_inkomsten,5,1),(C$3-VLOOKUP($A12,tabel_inkomsten,5,1))*VLOOKUP($A13,tabel_inkomsten,4,1),0)),0)</f>
        <v>4496</v>
      </c>
      <c r="D13" s="13">
        <f>ROUNDDOWN(IF(D$3&gt;VLOOKUP($A13,tabel_inkomsten,7,1),(VLOOKUP($A13,tabel_inkomsten,7,1)-VLOOKUP($A12,tabel_inkomsten,7,1))*VLOOKUP($A13,tabel_inkomsten,6,1),IF(D$3&gt;VLOOKUP($A12,tabel_inkomsten,7,1),(D$3-VLOOKUP($A12,tabel_inkomsten,7,1))*VLOOKUP($A13,tabel_inkomsten,6,1),0)),0)</f>
        <v>4076</v>
      </c>
    </row>
    <row r="14" spans="1:4" x14ac:dyDescent="0.25">
      <c r="A14" s="18" t="s">
        <v>8</v>
      </c>
      <c r="B14" s="13">
        <f>ROUNDDOWN(IF(AND(B$3&gt;VLOOKUP($A13,tabel_inkomsten,3,1),B$13&gt;0),(B$3-VLOOKUP($A13,tabel_inkomsten,3,1))*VLOOKUP($A14,tabel_inkomsten,2,1),0),0)</f>
        <v>0</v>
      </c>
      <c r="C14" s="13">
        <f>ROUNDDOWN(IF(AND(C$3&gt;VLOOKUP($A13,tabel_inkomsten,5,1),C$13&gt;0),(C$3-VLOOKUP($A13,tabel_inkomsten,5,1))*VLOOKUP($A14,tabel_inkomsten,4,1),0),0)</f>
        <v>0</v>
      </c>
      <c r="D14" s="13">
        <f>ROUNDDOWN(IF(AND(D$3&gt;VLOOKUP($A13,tabel_inkomsten,7,1),D$13&gt;0),(D$3-VLOOKUP($A13,tabel_inkomsten,7,1))*VLOOKUP($A14,tabel_inkomsten,6,1),0),0)</f>
        <v>0</v>
      </c>
    </row>
    <row r="15" spans="1:4" x14ac:dyDescent="0.25">
      <c r="A15" s="18" t="s">
        <v>9</v>
      </c>
      <c r="B15" s="13">
        <f>ROUNDDOWN(IF(B$3&gt;VLOOKUP($A15,tabel_verzekering,3,1),VLOOKUP($A15,tabel_verzekering,3,1)*VLOOKUP($A15,tabel_verzekering,2,1),B$3*VLOOKUP($A15,tabel_verzekering,2,1)),0)</f>
        <v>5525</v>
      </c>
      <c r="C15" s="13">
        <f>ROUNDDOWN(IF(C$3&gt;VLOOKUP($A15,tabel_verzekering,5,1),VLOOKUP($A15,tabel_verzekering,5,1)*VLOOKUP($A15,tabel_verzekering,4,1),C$3*VLOOKUP($A15,tabel_verzekering,4,1)),0)</f>
        <v>5568</v>
      </c>
      <c r="D15" s="13">
        <f>ROUNDDOWN(IF(D$3&gt;VLOOKUP($A15,tabel_verzekering,7,1),VLOOKUP($A15,tabel_verzekering,7,1)*VLOOKUP($A15,tabel_verzekering,6,1),D$3*VLOOKUP($A15,tabel_verzekering,6,1)),0)</f>
        <v>5568</v>
      </c>
    </row>
    <row r="16" spans="1:4" x14ac:dyDescent="0.25">
      <c r="A16" s="37" t="s">
        <v>10</v>
      </c>
      <c r="B16" s="38">
        <f>ROUNDDOWN(IF(B$3&gt;VLOOKUP($A16,tabel_verzekering,3,1),(VLOOKUP($A16,tabel_verzekering,3,1)-VLOOKUP($A15,tabel_verzekering,3,1))*VLOOKUP($A16,tabel_verzekering,2,1),IF(B$3&gt;VLOOKUP($A15,tabel_verzekering,3,1),(B$3-VLOOKUP($A15,tabel_verzekering,3,1))*VLOOKUP($A16,tabel_verzekering,2,1),0)),0)</f>
        <v>3818</v>
      </c>
      <c r="C16" s="38">
        <f>ROUNDDOWN(IF(C$3&gt;VLOOKUP($A16,tabel_verzekering,5,1),(VLOOKUP($A16,tabel_verzekering,5,1)-VLOOKUP($A15,tabel_verzekering,5,1))*VLOOKUP($A16,tabel_verzekering,4,1),IF(C$3&gt;VLOOKUP($A15,tabel_verzekering,5,1),(C$3-VLOOKUP($A15,tabel_verzekering,5,1))*VLOOKUP($A16,tabel_verzekering,4,1),0)),0)</f>
        <v>3830</v>
      </c>
      <c r="D16" s="38">
        <f>ROUNDDOWN(IF(D$3&gt;VLOOKUP($A16,tabel_verzekering,7,1),(VLOOKUP($A16,tabel_verzekering,7,1)-VLOOKUP($A15,tabel_verzekering,7,1))*VLOOKUP($A16,tabel_verzekering,6,1),IF(D$3&gt;VLOOKUP($A15,tabel_verzekering,7,1),(D$3-VLOOKUP($A15,tabel_verzekering,7,1))*VLOOKUP($A16,tabel_verzekering,6,1),0)),0)</f>
        <v>3830</v>
      </c>
    </row>
    <row r="17" spans="1:6" x14ac:dyDescent="0.25">
      <c r="A17" s="17" t="s">
        <v>40</v>
      </c>
      <c r="B17" s="10">
        <f>SUM(B$11:B$16)</f>
        <v>17509</v>
      </c>
      <c r="C17" s="10">
        <f t="shared" ref="C17:D17" si="0">SUM(C$11:C$16)</f>
        <v>17514</v>
      </c>
      <c r="D17" s="10">
        <f t="shared" si="0"/>
        <v>16762</v>
      </c>
    </row>
    <row r="18" spans="1:6" x14ac:dyDescent="0.25">
      <c r="A18" s="17"/>
      <c r="B18" s="10"/>
      <c r="C18" s="10"/>
      <c r="D18" s="10"/>
    </row>
    <row r="19" spans="1:6" x14ac:dyDescent="0.25">
      <c r="A19" s="18" t="s">
        <v>17</v>
      </c>
      <c r="B19" s="13">
        <f>IF(B$3&gt;VLOOKUP($A19,tabel_hefkorting,3,1),0,VLOOKUP($A19,tabel_hefkorting,2,1))</f>
        <v>0</v>
      </c>
      <c r="C19" s="13">
        <f>IF(C$3&gt;VLOOKUP($A19,tabel_hefkorting,5,1),0,VLOOKUP($A19,tabel_hefkorting,4,1))</f>
        <v>0</v>
      </c>
      <c r="D19" s="13">
        <f>IF(D$3&gt;VLOOKUP($A19,tabel_hefkorting,7,1),0,VLOOKUP($A19,tabel_hefkorting,6,1))</f>
        <v>0</v>
      </c>
    </row>
    <row r="20" spans="1:6" x14ac:dyDescent="0.25">
      <c r="A20" s="18" t="s">
        <v>18</v>
      </c>
      <c r="B20" s="13">
        <f>ROUNDDOWN(IF(B$3&gt;VLOOKUP($A20,tabel_hefkorting,3,1),0,IF(B$3&gt;VLOOKUP($A19,tabel_hefkorting,3,1),(B$3-VLOOKUP($A19,tabel_hefkorting,3,1))*-VLOOKUP($A20,tabel_hefkorting,2,1)+VLOOKUP($A19,tabel_hefkorting,2,1),0)),0)</f>
        <v>1056</v>
      </c>
      <c r="C20" s="13">
        <f>ROUNDDOWN(IF(C$3&gt;VLOOKUP($A20,tabel_hefkorting,5,1),0,IF(C$3&gt;VLOOKUP($A19,tabel_hefkorting,5,1),(C$3-VLOOKUP($A19,tabel_hefkorting,5,1))*-VLOOKUP($A20,tabel_hefkorting,4,1)+VLOOKUP($A19,tabel_hefkorting,4,1),0)),0)</f>
        <v>1100</v>
      </c>
      <c r="D20" s="13">
        <f>ROUNDDOWN(IF(D$3&gt;VLOOKUP($A20,tabel_hefkorting,7,1),0,IF(D$3&gt;VLOOKUP($A19,tabel_hefkorting,7,1),(D$3-VLOOKUP($A19,tabel_hefkorting,7,1))*-VLOOKUP($A20,tabel_hefkorting,6,1)+VLOOKUP($A19,tabel_hefkorting,6,1),0)),0)</f>
        <v>1210</v>
      </c>
    </row>
    <row r="21" spans="1:6" x14ac:dyDescent="0.25">
      <c r="A21" s="18" t="s">
        <v>19</v>
      </c>
      <c r="B21" s="13"/>
      <c r="C21" s="13"/>
      <c r="D21" s="13"/>
    </row>
    <row r="22" spans="1:6" x14ac:dyDescent="0.25">
      <c r="A22" s="18" t="s">
        <v>12</v>
      </c>
      <c r="B22" s="13">
        <f>ROUNDDOWN(IF(B$3&gt;VLOOKUP($A22,tabel_arbeidskorting,3,1),0,B$3*VLOOKUP($A22,tabel_arbeidskorting,2,1)),0)</f>
        <v>0</v>
      </c>
      <c r="C22" s="13">
        <f>ROUNDDOWN(IF(C$3&gt;VLOOKUP($A22,tabel_arbeidskorting,5,1),0,C$3*VLOOKUP($A22,tabel_arbeidskorting,4,1)),0)</f>
        <v>0</v>
      </c>
      <c r="D22" s="13">
        <f>ROUNDDOWN(IF(D$3&gt;VLOOKUP($A22,tabel_arbeidskorting,7,1),0,D$3*VLOOKUP($A22,tabel_arbeidskorting,6,1)),0)</f>
        <v>0</v>
      </c>
    </row>
    <row r="23" spans="1:6" x14ac:dyDescent="0.25">
      <c r="A23" s="18" t="s">
        <v>13</v>
      </c>
      <c r="B23" s="13">
        <f>ROUNDDOWN(IF(B$3&gt;VLOOKUP($A23,tabel_arbeidskorting,3,1),0,IF(B$3&gt;VLOOKUP($A23,tabel_arbeidskorting,3,1),(B$3-VLOOKUP($A23,tabel_arbeidskorting,3,1))*VLOOKUP($A23,tabel_arbeidskorting,2,1),0)),0)</f>
        <v>0</v>
      </c>
      <c r="C23" s="13">
        <f>ROUNDDOWN(IF(C$3&gt;VLOOKUP($A23,tabel_arbeidskorting,5,1),0,IF(C$3&gt;VLOOKUP($A23,tabel_arbeidskorting,5,1),(C$3-VLOOKUP($A23,tabel_arbeidskorting,5,1))*VLOOKUP($A23,tabel_arbeidskorting,4,1),0)),0)</f>
        <v>0</v>
      </c>
      <c r="D23" s="13">
        <f>ROUNDDOWN(IF(D$3&gt;VLOOKUP($A23,tabel_arbeidskorting,7,1),0,IF(D$3&gt;VLOOKUP($A23,tabel_arbeidskorting,7,1),(D$3-VLOOKUP($A23,tabel_arbeidskorting,7,1))*VLOOKUP($A23,tabel_arbeidskorting,6,1),0)),0)</f>
        <v>0</v>
      </c>
    </row>
    <row r="24" spans="1:6" x14ac:dyDescent="0.25">
      <c r="A24" s="18" t="s">
        <v>14</v>
      </c>
      <c r="B24" s="13">
        <f>ROUNDDOWN(IF(B$3&gt;VLOOKUP($A24,tabel_arbeidskorting,3,1),0,VLOOKUP($A24,tabel_arbeidskorting,2,1)),0)</f>
        <v>0</v>
      </c>
      <c r="C24" s="13">
        <f>ROUNDDOWN(IF(C$3&gt;VLOOKUP($A24,tabel_arbeidskorting,5,1),0,VLOOKUP($A24,tabel_arbeidskorting,4,1)),0)</f>
        <v>0</v>
      </c>
      <c r="D24" s="13">
        <f>ROUNDDOWN(IF(D$3&gt;VLOOKUP($A24,tabel_arbeidskorting,7,1),0,VLOOKUP($A24,tabel_arbeidskorting,6,1)),0)</f>
        <v>0</v>
      </c>
    </row>
    <row r="25" spans="1:6" x14ac:dyDescent="0.25">
      <c r="A25" s="18" t="s">
        <v>15</v>
      </c>
      <c r="B25" s="13">
        <f>ROUNDDOWN(IF(B$3&gt;VLOOKUP($A25,tabel_arbeidskorting,3,1),0,IF(B$3&gt;VLOOKUP($A24,tabel_arbeidskorting,3,1),VLOOKUP($A24,tabel_arbeidskorting,2,1)-(B$3-VLOOKUP($A24,tabel_arbeidskorting,3,1))*VLOOKUP($A25,tabel_arbeidskorting,2,1),0)),0)</f>
        <v>2770</v>
      </c>
      <c r="C25" s="13">
        <f>ROUNDDOWN(IF(C$3&gt;VLOOKUP($A25,tabel_arbeidskorting,5,1),0,IF(C$3&gt;VLOOKUP($A24,tabel_arbeidskorting,5,1),VLOOKUP($A24,tabel_arbeidskorting,4,1)-(C$3-VLOOKUP($A24,tabel_arbeidskorting,5,1))*VLOOKUP($A25,tabel_arbeidskorting,4,1),0)),0)</f>
        <v>2821</v>
      </c>
      <c r="D25" s="13">
        <f>ROUNDDOWN(IF(D$3&gt;VLOOKUP($A25,tabel_arbeidskorting,7,1),0,IF(D$3&gt;VLOOKUP($A24,tabel_arbeidskorting,7,1),VLOOKUP($A24,tabel_arbeidskorting,6,1)-(D$3-VLOOKUP($A24,tabel_arbeidskorting,7,1))*VLOOKUP($A25,tabel_arbeidskorting,6,1),0)),0)</f>
        <v>2742</v>
      </c>
    </row>
    <row r="26" spans="1:6" x14ac:dyDescent="0.25">
      <c r="A26" s="37" t="s">
        <v>16</v>
      </c>
      <c r="B26" s="38"/>
      <c r="C26" s="38"/>
      <c r="D26" s="38"/>
    </row>
    <row r="27" spans="1:6" x14ac:dyDescent="0.25">
      <c r="A27" s="22" t="s">
        <v>39</v>
      </c>
      <c r="B27" s="42">
        <f>SUM(B$19:B$26)</f>
        <v>3826</v>
      </c>
      <c r="C27" s="42">
        <f>SUM(C$19:C$26)</f>
        <v>3921</v>
      </c>
      <c r="D27" s="42">
        <f>SUM(D$19:D$26)</f>
        <v>3952</v>
      </c>
    </row>
    <row r="28" spans="1:6" x14ac:dyDescent="0.25">
      <c r="A28" s="17"/>
      <c r="B28" s="10"/>
      <c r="C28" s="10"/>
      <c r="D28" s="10"/>
    </row>
    <row r="29" spans="1:6" x14ac:dyDescent="0.25">
      <c r="A29" s="37" t="s">
        <v>30</v>
      </c>
      <c r="B29" s="38">
        <f>ROUNDDOWN(VLOOKUP($A29,tabel_latent,2,0)*B$9,0)</f>
        <v>15000</v>
      </c>
      <c r="C29" s="38">
        <f>ROUNDDOWN(VLOOKUP($A29,tabel_latent,4,0)*C$9,0)</f>
        <v>15000</v>
      </c>
      <c r="D29" s="38">
        <f>ROUNDDOWN(VLOOKUP($A29,tabel_latent,6,0)*D$9,0)</f>
        <v>15000</v>
      </c>
    </row>
    <row r="30" spans="1:6" x14ac:dyDescent="0.25">
      <c r="A30" s="22" t="s">
        <v>52</v>
      </c>
      <c r="B30" s="42">
        <f>IF(MAX(B$17-B$27,0)+B$29/personen&lt;Nihil_2017,0,MAX(B$17-B$27,0)+B$29/personen)</f>
        <v>28683</v>
      </c>
      <c r="C30" s="42">
        <f>IF(MAX(C$17-C$27,0)+C$29/personen&lt;Nihil_2018,0,MAX(C$17-C$27,0)+C$29/personen)</f>
        <v>28593</v>
      </c>
      <c r="D30" s="42">
        <f>IF(MAX(D$17-D$27,0)+D$29/personen&lt;Nihil_2019,0,MAX(D$17-D$27,0)+D$29/personen)</f>
        <v>27810</v>
      </c>
    </row>
    <row r="31" spans="1:6" x14ac:dyDescent="0.25">
      <c r="A31" s="17"/>
      <c r="B31" s="10"/>
      <c r="C31" s="10"/>
      <c r="D31" s="10"/>
      <c r="F31" s="10"/>
    </row>
    <row r="32" spans="1:6" x14ac:dyDescent="0.25">
      <c r="A32" s="17" t="s">
        <v>38</v>
      </c>
      <c r="B32" s="10">
        <f>B$8</f>
        <v>15000</v>
      </c>
      <c r="C32" s="10">
        <f>C$8</f>
        <v>15000</v>
      </c>
      <c r="D32" s="10">
        <f>D$8</f>
        <v>15000</v>
      </c>
    </row>
    <row r="33" spans="1:4" x14ac:dyDescent="0.25">
      <c r="A33" s="16" t="s">
        <v>42</v>
      </c>
      <c r="B33" s="9">
        <f>B$30*personen</f>
        <v>28683</v>
      </c>
      <c r="C33" s="9">
        <f>C$30*personen</f>
        <v>28593</v>
      </c>
      <c r="D33" s="9">
        <f>D$30*personen</f>
        <v>27810</v>
      </c>
    </row>
    <row r="34" spans="1:4" x14ac:dyDescent="0.25">
      <c r="A34" s="17" t="s">
        <v>41</v>
      </c>
      <c r="B34" s="14">
        <f>SUM(B$32:B$33)</f>
        <v>43683</v>
      </c>
      <c r="C34" s="14">
        <f>SUM(C$32:C$33)</f>
        <v>43593</v>
      </c>
      <c r="D34" s="14">
        <f>SUM(D$32:D$33)</f>
        <v>42810</v>
      </c>
    </row>
    <row r="35" spans="1:4" x14ac:dyDescent="0.25">
      <c r="A35" s="17" t="s">
        <v>24</v>
      </c>
      <c r="B35" s="5">
        <f>IFERROR(B$34/winst,0)</f>
        <v>0.36402499999999999</v>
      </c>
      <c r="C35" s="5">
        <f>IFERROR(C$34/winst,0)</f>
        <v>0.36327500000000001</v>
      </c>
      <c r="D35" s="5">
        <f>IFERROR(D$34/winst,0)</f>
        <v>0.35675000000000001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5184-7828-4DCB-B4B6-21EEDBA66128}">
  <dimension ref="A1:F35"/>
  <sheetViews>
    <sheetView workbookViewId="0">
      <selection activeCell="I7" sqref="I7"/>
    </sheetView>
  </sheetViews>
  <sheetFormatPr defaultRowHeight="15" x14ac:dyDescent="0.25"/>
  <cols>
    <col min="1" max="1" width="38.85546875" bestFit="1" customWidth="1"/>
    <col min="2" max="4" width="15.7109375" customWidth="1"/>
  </cols>
  <sheetData>
    <row r="1" spans="1:6" x14ac:dyDescent="0.25">
      <c r="A1" s="16"/>
      <c r="B1" s="15">
        <v>2017</v>
      </c>
      <c r="C1" s="15">
        <v>2018</v>
      </c>
      <c r="D1" s="15">
        <v>2019</v>
      </c>
    </row>
    <row r="2" spans="1:6" x14ac:dyDescent="0.25">
      <c r="A2" s="17" t="s">
        <v>0</v>
      </c>
      <c r="B2" s="11">
        <f>winst</f>
        <v>120000</v>
      </c>
      <c r="C2" s="11">
        <f>winst</f>
        <v>120000</v>
      </c>
      <c r="D2" s="11">
        <f>winst</f>
        <v>120000</v>
      </c>
    </row>
    <row r="3" spans="1:6" x14ac:dyDescent="0.25">
      <c r="A3" s="16" t="s">
        <v>28</v>
      </c>
      <c r="B3" s="9">
        <f>IF(AND(DGA_salaris&lt;winst/personen,DGA_salaris&gt;DGA_2017),DGA_salaris,MIN(winst/personen,DGA_2017,DGA_salaris))</f>
        <v>30000</v>
      </c>
      <c r="C3" s="9">
        <f>IF(AND(DGA_salaris&lt;winst/personen,DGA_salaris&gt;DGA_2018),DGA_salaris,MIN(winst/personen,DGA_2018,DGA_salaris))</f>
        <v>30000</v>
      </c>
      <c r="D3" s="9">
        <f>IF(AND(DGA_salaris&lt;winst/personen,DGA_salaris&gt;DGA_2019),DGA_salaris,MIN(winst/personen,DGA_2019,DGA_salaris))</f>
        <v>30000</v>
      </c>
      <c r="F3" s="10"/>
    </row>
    <row r="4" spans="1:6" x14ac:dyDescent="0.25">
      <c r="A4" s="17" t="s">
        <v>31</v>
      </c>
      <c r="B4" s="10">
        <f>winst-(B$3*personen)</f>
        <v>90000</v>
      </c>
      <c r="C4" s="10">
        <f>winst-(C$3*personen)</f>
        <v>90000</v>
      </c>
      <c r="D4" s="10">
        <f>winst-(D$3*personen)</f>
        <v>90000</v>
      </c>
      <c r="F4" s="10"/>
    </row>
    <row r="5" spans="1:6" x14ac:dyDescent="0.25">
      <c r="A5" s="17"/>
      <c r="B5" s="10"/>
      <c r="C5" s="10"/>
      <c r="D5" s="10"/>
    </row>
    <row r="6" spans="1:6" x14ac:dyDescent="0.25">
      <c r="A6" s="18" t="s">
        <v>25</v>
      </c>
      <c r="B6" s="13">
        <f>ROUNDDOWN(IF(B$4&gt;VLOOKUP($A6,tabel_vennoot,3,1),VLOOKUP($A6,tabel_vennoot,3,1)*VLOOKUP($A6,tabel_vennoot,2,1),B$4*VLOOKUP($A6,tabel_vennoot,2,1)),0)</f>
        <v>18000</v>
      </c>
      <c r="C6" s="13">
        <f>ROUNDDOWN(IF(C$4&gt;VLOOKUP($A6,tabel_vennoot,5,1),VLOOKUP($A6,tabel_vennoot,5,1)*VLOOKUP($A6,tabel_vennoot,4,1),C$4*VLOOKUP($A6,tabel_vennoot,4,1)),0)</f>
        <v>18000</v>
      </c>
      <c r="D6" s="13">
        <f>ROUNDDOWN(IF(D$4&gt;VLOOKUP($A6,tabel_vennoot,7,1),VLOOKUP($A6,tabel_vennoot,7,1)*VLOOKUP($A6,tabel_vennoot,6,1),D$4*VLOOKUP($A6,tabel_vennoot,6,1)),0)</f>
        <v>18000</v>
      </c>
    </row>
    <row r="7" spans="1:6" x14ac:dyDescent="0.25">
      <c r="A7" s="18" t="s">
        <v>26</v>
      </c>
      <c r="B7" s="13">
        <f>ROUNDDOWN(IF(AND(B$4&gt;VLOOKUP($A6,tabel_vennoot,3,1),B$6&gt;0),(B$4-VLOOKUP($A6,tabel_vennoot,3,1))*VLOOKUP($A7,tabel_vennoot,2,1),0),0)</f>
        <v>0</v>
      </c>
      <c r="C7" s="13">
        <f>ROUNDDOWN(IF(AND(C$4&gt;VLOOKUP($A6,tabel_vennoot,5,1),C$6&gt;0),(C$4-VLOOKUP($A6,tabel_vennoot,5,1))*VLOOKUP($A7,tabel_vennoot,4,1),0),0)</f>
        <v>0</v>
      </c>
      <c r="D7" s="13">
        <f>ROUNDDOWN(IF(AND(D$4&gt;VLOOKUP($A6,tabel_vennoot,7,1),D$6&gt;0),(D$4-VLOOKUP($A6,tabel_vennoot,7,1))*VLOOKUP($A7,tabel_vennoot,6,1),0),0)</f>
        <v>0</v>
      </c>
    </row>
    <row r="8" spans="1:6" x14ac:dyDescent="0.25">
      <c r="A8" s="16" t="s">
        <v>36</v>
      </c>
      <c r="B8" s="9">
        <f>SUM(B$6:B$7)</f>
        <v>18000</v>
      </c>
      <c r="C8" s="9">
        <f>SUM(C$6:C$7)</f>
        <v>18000</v>
      </c>
      <c r="D8" s="9">
        <f>SUM(D$6:D$7)</f>
        <v>18000</v>
      </c>
    </row>
    <row r="9" spans="1:6" x14ac:dyDescent="0.25">
      <c r="A9" s="17" t="s">
        <v>32</v>
      </c>
      <c r="B9" s="10">
        <f>B$4-B$8</f>
        <v>72000</v>
      </c>
      <c r="C9" s="10">
        <f>C$4-C$8</f>
        <v>72000</v>
      </c>
      <c r="D9" s="10">
        <f>D$4-D$8</f>
        <v>72000</v>
      </c>
    </row>
    <row r="10" spans="1:6" x14ac:dyDescent="0.25">
      <c r="A10" s="17"/>
      <c r="B10" s="10"/>
      <c r="C10" s="10"/>
      <c r="D10" s="10"/>
    </row>
    <row r="11" spans="1:6" x14ac:dyDescent="0.25">
      <c r="A11" s="18" t="s">
        <v>5</v>
      </c>
      <c r="B11" s="13">
        <f>ROUNDDOWN(IF(B$3&gt;VLOOKUP($A11,tabel_inkomsten,3,1),VLOOKUP($A11,tabel_inkomsten,3,1)*VLOOKUP($A11,tabel_inkomsten,2,1),B$3*VLOOKUP($A11,tabel_inkomsten,2,1)),0)</f>
        <v>1778</v>
      </c>
      <c r="C11" s="13">
        <f>ROUNDDOWN(IF(C$3&gt;VLOOKUP($A11,tabel_inkomsten,5,1),VLOOKUP($A11,tabel_inkomsten,5,1)*VLOOKUP($A11,tabel_inkomsten,4,1),C$3*VLOOKUP($A11,tabel_inkomsten,4,1)),0)</f>
        <v>1792</v>
      </c>
      <c r="D11" s="13">
        <f>ROUNDDOWN(IF(D$3&gt;VLOOKUP($A11,tabel_inkomsten,7,1),VLOOKUP($A11,tabel_inkomsten,7,1)*VLOOKUP($A11,tabel_inkomsten,6,1),D$3*VLOOKUP($A11,tabel_inkomsten,6,1)),0)</f>
        <v>1834</v>
      </c>
    </row>
    <row r="12" spans="1:6" x14ac:dyDescent="0.25">
      <c r="A12" s="18" t="s">
        <v>6</v>
      </c>
      <c r="B12" s="13">
        <f>ROUNDDOWN(IF(B$3&gt;VLOOKUP($A12,tabel_inkomsten,3,1),(VLOOKUP($A12,tabel_inkomsten,3,1)-VLOOKUP($A11,tabel_inkomsten,3,1))*VLOOKUP($A12,tabel_inkomsten,2,1),IF(B$3&gt;VLOOKUP($A11,tabel_inkomsten,3,1),(B$3-VLOOKUP($A11,tabel_inkomsten,3,1))*VLOOKUP($A12,tabel_inkomsten,2,1),0)),0)</f>
        <v>1317</v>
      </c>
      <c r="C12" s="13">
        <f>ROUNDDOWN(IF(C$3&gt;VLOOKUP($A12,tabel_inkomsten,5,1),(VLOOKUP($A12,tabel_inkomsten,5,1)-VLOOKUP($A11,tabel_inkomsten,5,1))*VLOOKUP($A12,tabel_inkomsten,4,1),IF(C$3&gt;VLOOKUP($A11,tabel_inkomsten,5,1),(C$3-VLOOKUP($A11,tabel_inkomsten,5,1))*VLOOKUP($A12,tabel_inkomsten,4,1),0)),0)</f>
        <v>1301</v>
      </c>
      <c r="D12" s="13">
        <f>ROUNDDOWN(IF(D$3&gt;VLOOKUP($A12,tabel_inkomsten,7,1),(VLOOKUP($A12,tabel_inkomsten,7,1)-VLOOKUP($A11,tabel_inkomsten,7,1))*VLOOKUP($A12,tabel_inkomsten,6,1),IF(D$3&gt;VLOOKUP($A11,tabel_inkomsten,7,1),(D$3-VLOOKUP($A11,tabel_inkomsten,7,1))*VLOOKUP($A12,tabel_inkomsten,6,1),0)),0)</f>
        <v>1004</v>
      </c>
    </row>
    <row r="13" spans="1:6" x14ac:dyDescent="0.25">
      <c r="A13" s="18" t="s">
        <v>7</v>
      </c>
      <c r="B13" s="13">
        <f>ROUNDDOWN(IF(B$3&gt;VLOOKUP($A13,tabel_inkomsten,3,1),(VLOOKUP($A13,tabel_inkomsten,3,1)-VLOOKUP($A12,tabel_inkomsten,3,1))*VLOOKUP($A13,tabel_inkomsten,2,1),IF(B$3&gt;VLOOKUP($A12,tabel_inkomsten,3,1),(B$3-VLOOKUP($A12,tabel_inkomsten,3,1))*VLOOKUP($A13,tabel_inkomsten,2,1),0)),0)</f>
        <v>0</v>
      </c>
      <c r="C13" s="13">
        <f>ROUNDDOWN(IF(C$3&gt;VLOOKUP($A13,tabel_inkomsten,5,1),(VLOOKUP($A13,tabel_inkomsten,5,1)-VLOOKUP($A12,tabel_inkomsten,5,1))*VLOOKUP($A13,tabel_inkomsten,4,1),IF(C$3&gt;VLOOKUP($A12,tabel_inkomsten,5,1),(C$3-VLOOKUP($A12,tabel_inkomsten,5,1))*VLOOKUP($A13,tabel_inkomsten,4,1),0)),0)</f>
        <v>0</v>
      </c>
      <c r="D13" s="13">
        <f>ROUNDDOWN(IF(D$3&gt;VLOOKUP($A13,tabel_inkomsten,7,1),(VLOOKUP($A13,tabel_inkomsten,7,1)-VLOOKUP($A12,tabel_inkomsten,7,1))*VLOOKUP($A13,tabel_inkomsten,6,1),IF(D$3&gt;VLOOKUP($A12,tabel_inkomsten,7,1),(D$3-VLOOKUP($A12,tabel_inkomsten,7,1))*VLOOKUP($A13,tabel_inkomsten,6,1),0)),0)</f>
        <v>0</v>
      </c>
    </row>
    <row r="14" spans="1:6" x14ac:dyDescent="0.25">
      <c r="A14" s="18" t="s">
        <v>8</v>
      </c>
      <c r="B14" s="13">
        <f>ROUNDDOWN(IF(AND(B$3&gt;VLOOKUP($A13,tabel_inkomsten,3,1),B$13&gt;0),(B$3-VLOOKUP($A13,tabel_inkomsten,3,1))*VLOOKUP($A14,tabel_inkomsten,2,1),0),0)</f>
        <v>0</v>
      </c>
      <c r="C14" s="13">
        <f>ROUNDDOWN(IF(AND(C$3&gt;VLOOKUP($A13,tabel_inkomsten,5,1),C$13&gt;0),(C$3-VLOOKUP($A13,tabel_inkomsten,5,1))*VLOOKUP($A14,tabel_inkomsten,4,1),0),0)</f>
        <v>0</v>
      </c>
      <c r="D14" s="13">
        <f>ROUNDDOWN(IF(AND(D$3&gt;VLOOKUP($A13,tabel_inkomsten,7,1),D$13&gt;0),(D$3-VLOOKUP($A13,tabel_inkomsten,7,1))*VLOOKUP($A14,tabel_inkomsten,6,1),0),0)</f>
        <v>0</v>
      </c>
    </row>
    <row r="15" spans="1:6" x14ac:dyDescent="0.25">
      <c r="A15" s="18" t="s">
        <v>9</v>
      </c>
      <c r="B15" s="13">
        <f>ROUNDDOWN(IF(B$3&gt;VLOOKUP($A15,tabel_verzekering,3,1),VLOOKUP($A15,tabel_verzekering,3,1)*VLOOKUP($A15,tabel_verzekering,2,1),B$3*VLOOKUP($A15,tabel_verzekering,2,1)),0)</f>
        <v>5525</v>
      </c>
      <c r="C15" s="13">
        <f>ROUNDDOWN(IF(C$3&gt;VLOOKUP($A15,tabel_verzekering,5,1),VLOOKUP($A15,tabel_verzekering,5,1)*VLOOKUP($A15,tabel_verzekering,4,1),C$3*VLOOKUP($A15,tabel_verzekering,4,1)),0)</f>
        <v>5568</v>
      </c>
      <c r="D15" s="13">
        <f>ROUNDDOWN(IF(D$3&gt;VLOOKUP($A15,tabel_verzekering,7,1),VLOOKUP($A15,tabel_verzekering,7,1)*VLOOKUP($A15,tabel_verzekering,6,1),D$3*VLOOKUP($A15,tabel_verzekering,6,1)),0)</f>
        <v>5568</v>
      </c>
    </row>
    <row r="16" spans="1:6" x14ac:dyDescent="0.25">
      <c r="A16" s="37" t="s">
        <v>10</v>
      </c>
      <c r="B16" s="38">
        <f>ROUNDDOWN(IF(B$3&gt;VLOOKUP($A16,tabel_verzekering,3,1),(VLOOKUP($A16,tabel_verzekering,3,1)-VLOOKUP($A15,tabel_verzekering,3,1))*VLOOKUP($A16,tabel_verzekering,2,1),IF(B$3&gt;VLOOKUP($A15,tabel_verzekering,3,1),(B$3-VLOOKUP($A15,tabel_verzekering,3,1))*VLOOKUP($A16,tabel_verzekering,2,1),0)),0)</f>
        <v>2769</v>
      </c>
      <c r="C16" s="38">
        <f>ROUNDDOWN(IF(C$3&gt;VLOOKUP($A16,tabel_verzekering,5,1),(VLOOKUP($A16,tabel_verzekering,5,1)-VLOOKUP($A15,tabel_verzekering,5,1))*VLOOKUP($A16,tabel_verzekering,4,1),IF(C$3&gt;VLOOKUP($A15,tabel_verzekering,5,1),(C$3-VLOOKUP($A15,tabel_verzekering,5,1))*VLOOKUP($A16,tabel_verzekering,4,1),0)),0)</f>
        <v>2726</v>
      </c>
      <c r="D16" s="38">
        <f>ROUNDDOWN(IF(D$3&gt;VLOOKUP($A16,tabel_verzekering,7,1),(VLOOKUP($A16,tabel_verzekering,7,1)-VLOOKUP($A15,tabel_verzekering,7,1))*VLOOKUP($A16,tabel_verzekering,6,1),IF(D$3&gt;VLOOKUP($A15,tabel_verzekering,7,1),(D$3-VLOOKUP($A15,tabel_verzekering,7,1))*VLOOKUP($A16,tabel_verzekering,6,1),0)),0)</f>
        <v>2726</v>
      </c>
    </row>
    <row r="17" spans="1:4" x14ac:dyDescent="0.25">
      <c r="A17" s="17" t="s">
        <v>40</v>
      </c>
      <c r="B17" s="10">
        <f>SUM(B$11:B$16)</f>
        <v>11389</v>
      </c>
      <c r="C17" s="10">
        <f t="shared" ref="C17:D17" si="0">SUM(C$11:C$16)</f>
        <v>11387</v>
      </c>
      <c r="D17" s="10">
        <f t="shared" si="0"/>
        <v>11132</v>
      </c>
    </row>
    <row r="18" spans="1:4" x14ac:dyDescent="0.25">
      <c r="A18" s="17"/>
      <c r="B18" s="10"/>
      <c r="C18" s="10"/>
      <c r="D18" s="10"/>
    </row>
    <row r="19" spans="1:4" x14ac:dyDescent="0.25">
      <c r="A19" s="18" t="s">
        <v>17</v>
      </c>
      <c r="B19" s="13">
        <f>IF(B$3&gt;VLOOKUP($A19,tabel_hefkorting,3,1),0,VLOOKUP($A19,tabel_hefkorting,2,1))</f>
        <v>0</v>
      </c>
      <c r="C19" s="13">
        <f>IF(C$3&gt;VLOOKUP($A19,tabel_hefkorting,5,1),0,VLOOKUP($A19,tabel_hefkorting,4,1))</f>
        <v>0</v>
      </c>
      <c r="D19" s="13">
        <f>IF(D$3&gt;VLOOKUP($A19,tabel_hefkorting,7,1),0,VLOOKUP($A19,tabel_hefkorting,6,1))</f>
        <v>0</v>
      </c>
    </row>
    <row r="20" spans="1:4" x14ac:dyDescent="0.25">
      <c r="A20" s="18" t="s">
        <v>18</v>
      </c>
      <c r="B20" s="13">
        <f>ROUNDDOWN(IF(B$3&gt;VLOOKUP($A20,tabel_hefkorting,3,1),0,IF(B$3&gt;VLOOKUP($A19,tabel_hefkorting,3,1),(B$3-VLOOKUP($A19,tabel_hefkorting,3,1))*-VLOOKUP($A20,tabel_hefkorting,2,1)+VLOOKUP($A19,tabel_hefkorting,2,1),0)),0)</f>
        <v>1774</v>
      </c>
      <c r="C20" s="13">
        <f>ROUNDDOWN(IF(C$3&gt;VLOOKUP($A20,tabel_hefkorting,5,1),0,IF(C$3&gt;VLOOKUP($A19,tabel_hefkorting,5,1),(C$3-VLOOKUP($A19,tabel_hefkorting,5,1))*-VLOOKUP($A20,tabel_hefkorting,4,1)+VLOOKUP($A19,tabel_hefkorting,4,1),0)),0)</f>
        <v>1803</v>
      </c>
      <c r="D20" s="13">
        <f>ROUNDDOWN(IF(D$3&gt;VLOOKUP($A20,tabel_hefkorting,7,1),0,IF(D$3&gt;VLOOKUP($A19,tabel_hefkorting,7,1),(D$3-VLOOKUP($A19,tabel_hefkorting,7,1))*-VLOOKUP($A20,tabel_hefkorting,6,1)+VLOOKUP($A19,tabel_hefkorting,6,1),0)),0)</f>
        <v>1982</v>
      </c>
    </row>
    <row r="21" spans="1:4" x14ac:dyDescent="0.25">
      <c r="A21" s="18" t="s">
        <v>19</v>
      </c>
      <c r="B21" s="13"/>
      <c r="C21" s="13"/>
      <c r="D21" s="13"/>
    </row>
    <row r="22" spans="1:4" x14ac:dyDescent="0.25">
      <c r="A22" s="18" t="s">
        <v>12</v>
      </c>
      <c r="B22" s="13">
        <f>ROUNDDOWN(IF(B$3&gt;VLOOKUP($A22,tabel_arbeidskorting,3,1),0,B$3*VLOOKUP($A22,tabel_arbeidskorting,2,1)),0)</f>
        <v>0</v>
      </c>
      <c r="C22" s="13">
        <f>ROUNDDOWN(IF(C$3&gt;VLOOKUP($A22,tabel_arbeidskorting,5,1),0,C$3*VLOOKUP($A22,tabel_arbeidskorting,4,1)),0)</f>
        <v>0</v>
      </c>
      <c r="D22" s="13">
        <f>ROUNDDOWN(IF(D$3&gt;VLOOKUP($A22,tabel_arbeidskorting,7,1),0,D$3*VLOOKUP($A22,tabel_arbeidskorting,6,1)),0)</f>
        <v>0</v>
      </c>
    </row>
    <row r="23" spans="1:4" x14ac:dyDescent="0.25">
      <c r="A23" s="18" t="s">
        <v>13</v>
      </c>
      <c r="B23" s="13">
        <f>ROUNDDOWN(IF(B$3&gt;VLOOKUP($A23,tabel_arbeidskorting,3,1),0,IF(B$3&gt;VLOOKUP($A23,tabel_arbeidskorting,3,1),(B$3-VLOOKUP($A23,tabel_arbeidskorting,3,1))*VLOOKUP($A23,tabel_arbeidskorting,2,1),0)),0)</f>
        <v>0</v>
      </c>
      <c r="C23" s="13">
        <f>ROUNDDOWN(IF(C$3&gt;VLOOKUP($A23,tabel_arbeidskorting,5,1),0,IF(C$3&gt;VLOOKUP($A23,tabel_arbeidskorting,5,1),(C$3-VLOOKUP($A23,tabel_arbeidskorting,5,1))*VLOOKUP($A23,tabel_arbeidskorting,4,1),0)),0)</f>
        <v>0</v>
      </c>
      <c r="D23" s="13">
        <f>ROUNDDOWN(IF(D$3&gt;VLOOKUP($A23,tabel_arbeidskorting,7,1),0,IF(D$3&gt;VLOOKUP($A23,tabel_arbeidskorting,7,1),(D$3-VLOOKUP($A23,tabel_arbeidskorting,7,1))*VLOOKUP($A23,tabel_arbeidskorting,6,1),0)),0)</f>
        <v>0</v>
      </c>
    </row>
    <row r="24" spans="1:4" x14ac:dyDescent="0.25">
      <c r="A24" s="18" t="s">
        <v>14</v>
      </c>
      <c r="B24" s="13">
        <f>ROUNDDOWN(IF(B$3&gt;VLOOKUP($A24,tabel_arbeidskorting,3,1),0,VLOOKUP($A24,tabel_arbeidskorting,2,1)),0)</f>
        <v>3223</v>
      </c>
      <c r="C24" s="13">
        <f>ROUNDDOWN(IF(C$3&gt;VLOOKUP($A24,tabel_arbeidskorting,5,1),0,VLOOKUP($A24,tabel_arbeidskorting,4,1)),0)</f>
        <v>3249</v>
      </c>
      <c r="D24" s="13">
        <f>ROUNDDOWN(IF(D$3&gt;VLOOKUP($A24,tabel_arbeidskorting,7,1),0,VLOOKUP($A24,tabel_arbeidskorting,6,1)),0)</f>
        <v>3399</v>
      </c>
    </row>
    <row r="25" spans="1:4" x14ac:dyDescent="0.25">
      <c r="A25" s="18" t="s">
        <v>15</v>
      </c>
      <c r="B25" s="13">
        <f>ROUNDDOWN(IF(B$3&gt;VLOOKUP($A25,tabel_arbeidskorting,3,1),0,IF(B$3&gt;VLOOKUP($A24,tabel_arbeidskorting,3,1),VLOOKUP($A24,tabel_arbeidskorting,2,1)-(B$3-VLOOKUP($A24,tabel_arbeidskorting,3,1))*VLOOKUP($A25,tabel_arbeidskorting,2,1),0)),0)</f>
        <v>0</v>
      </c>
      <c r="C25" s="13">
        <f>ROUNDDOWN(IF(C$3&gt;VLOOKUP($A25,tabel_arbeidskorting,5,1),0,IF(C$3&gt;VLOOKUP($A24,tabel_arbeidskorting,5,1),VLOOKUP($A24,tabel_arbeidskorting,4,1)-(C$3-VLOOKUP($A24,tabel_arbeidskorting,5,1))*VLOOKUP($A25,tabel_arbeidskorting,4,1),0)),0)</f>
        <v>0</v>
      </c>
      <c r="D25" s="13">
        <f>ROUNDDOWN(IF(D$3&gt;VLOOKUP($A25,tabel_arbeidskorting,7,1),0,IF(D$3&gt;VLOOKUP($A24,tabel_arbeidskorting,7,1),VLOOKUP($A24,tabel_arbeidskorting,6,1)-(D$3-VLOOKUP($A24,tabel_arbeidskorting,7,1))*VLOOKUP($A25,tabel_arbeidskorting,6,1),0)),0)</f>
        <v>0</v>
      </c>
    </row>
    <row r="26" spans="1:4" x14ac:dyDescent="0.25">
      <c r="A26" s="37" t="s">
        <v>16</v>
      </c>
      <c r="B26" s="38"/>
      <c r="C26" s="38"/>
      <c r="D26" s="38"/>
    </row>
    <row r="27" spans="1:4" x14ac:dyDescent="0.25">
      <c r="A27" s="22" t="s">
        <v>39</v>
      </c>
      <c r="B27" s="42">
        <f>SUM(B$19:B$26)</f>
        <v>4997</v>
      </c>
      <c r="C27" s="42">
        <f>SUM(C$19:C$26)</f>
        <v>5052</v>
      </c>
      <c r="D27" s="42">
        <f>SUM(D$19:D$26)</f>
        <v>5381</v>
      </c>
    </row>
    <row r="28" spans="1:4" x14ac:dyDescent="0.25">
      <c r="A28" s="17"/>
      <c r="B28" s="10"/>
      <c r="C28" s="10"/>
      <c r="D28" s="10"/>
    </row>
    <row r="29" spans="1:4" x14ac:dyDescent="0.25">
      <c r="A29" s="37" t="s">
        <v>30</v>
      </c>
      <c r="B29" s="38">
        <f>ROUNDDOWN(VLOOKUP($A29,tabel_latent,2,0)*B$9,0)</f>
        <v>18000</v>
      </c>
      <c r="C29" s="38">
        <f>ROUNDDOWN(VLOOKUP($A29,tabel_latent,4,0)*C$9,0)</f>
        <v>18000</v>
      </c>
      <c r="D29" s="38">
        <f>ROUNDDOWN(VLOOKUP($A29,tabel_latent,6,0)*D$9,0)</f>
        <v>18000</v>
      </c>
    </row>
    <row r="30" spans="1:4" x14ac:dyDescent="0.25">
      <c r="A30" s="22" t="s">
        <v>52</v>
      </c>
      <c r="B30" s="42">
        <f>IF(MAX(B$17-B$27,0)+B$29/personen&lt;Nihil_2017,0,MAX(B$17-B$27,0)+B$29/personen)</f>
        <v>24392</v>
      </c>
      <c r="C30" s="42">
        <f>IF(MAX(C$17-C$27,0)+C$29/personen&lt;Nihil_2018,0,MAX(C$17-C$27,0)+C$29/personen)</f>
        <v>24335</v>
      </c>
      <c r="D30" s="42">
        <f>IF(MAX(D$17-D$27,0)+D$29/personen&lt;Nihil_2019,0,MAX(D$17-D$27,0)+D$29/personen)</f>
        <v>23751</v>
      </c>
    </row>
    <row r="31" spans="1:4" x14ac:dyDescent="0.25">
      <c r="A31" s="17"/>
      <c r="B31" s="10"/>
      <c r="C31" s="10"/>
      <c r="D31" s="10"/>
    </row>
    <row r="32" spans="1:4" x14ac:dyDescent="0.25">
      <c r="A32" s="17" t="s">
        <v>38</v>
      </c>
      <c r="B32" s="10">
        <f>B$8</f>
        <v>18000</v>
      </c>
      <c r="C32" s="10">
        <f>C$8</f>
        <v>18000</v>
      </c>
      <c r="D32" s="10">
        <f>D$8</f>
        <v>18000</v>
      </c>
    </row>
    <row r="33" spans="1:4" x14ac:dyDescent="0.25">
      <c r="A33" s="16" t="s">
        <v>42</v>
      </c>
      <c r="B33" s="9">
        <f>B$30*personen</f>
        <v>24392</v>
      </c>
      <c r="C33" s="9">
        <f>C$30*personen</f>
        <v>24335</v>
      </c>
      <c r="D33" s="9">
        <f>D$30*personen</f>
        <v>23751</v>
      </c>
    </row>
    <row r="34" spans="1:4" x14ac:dyDescent="0.25">
      <c r="A34" s="17" t="s">
        <v>41</v>
      </c>
      <c r="B34" s="14">
        <f>SUM(B$32:B$33)</f>
        <v>42392</v>
      </c>
      <c r="C34" s="14">
        <f>SUM(C$32:C$33)</f>
        <v>42335</v>
      </c>
      <c r="D34" s="14">
        <f>SUM(D$32:D$33)</f>
        <v>41751</v>
      </c>
    </row>
    <row r="35" spans="1:4" x14ac:dyDescent="0.25">
      <c r="A35" s="17" t="s">
        <v>24</v>
      </c>
      <c r="B35" s="5">
        <f>IFERROR(B$34/winst,0)</f>
        <v>0.35326666666666667</v>
      </c>
      <c r="C35" s="5">
        <f>IFERROR(C$34/winst,0)</f>
        <v>0.35279166666666667</v>
      </c>
      <c r="D35" s="5">
        <f>IFERROR(D$34/winst,0)</f>
        <v>0.34792499999999998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9339-460D-4204-9E0F-E28636F0477E}">
  <dimension ref="A1:F35"/>
  <sheetViews>
    <sheetView workbookViewId="0">
      <selection activeCell="A5" sqref="A5:XFD8"/>
    </sheetView>
  </sheetViews>
  <sheetFormatPr defaultRowHeight="15" x14ac:dyDescent="0.25"/>
  <cols>
    <col min="1" max="1" width="38.85546875" bestFit="1" customWidth="1"/>
    <col min="2" max="4" width="15.7109375" customWidth="1"/>
  </cols>
  <sheetData>
    <row r="1" spans="1:4" x14ac:dyDescent="0.25">
      <c r="A1" s="16"/>
      <c r="B1" s="15">
        <v>2017</v>
      </c>
      <c r="C1" s="15">
        <v>2018</v>
      </c>
      <c r="D1" s="15">
        <v>2019</v>
      </c>
    </row>
    <row r="2" spans="1:4" x14ac:dyDescent="0.25">
      <c r="A2" s="17" t="s">
        <v>0</v>
      </c>
      <c r="B2" s="11">
        <f>winst</f>
        <v>120000</v>
      </c>
      <c r="C2" s="11">
        <f>winst</f>
        <v>120000</v>
      </c>
      <c r="D2" s="11">
        <f>winst</f>
        <v>120000</v>
      </c>
    </row>
    <row r="3" spans="1:4" x14ac:dyDescent="0.25">
      <c r="A3" s="16" t="s">
        <v>28</v>
      </c>
      <c r="B3" s="9">
        <f>winst/personen</f>
        <v>120000</v>
      </c>
      <c r="C3" s="9">
        <f>winst/personen</f>
        <v>120000</v>
      </c>
      <c r="D3" s="9">
        <f>winst/personen</f>
        <v>120000</v>
      </c>
    </row>
    <row r="4" spans="1:4" x14ac:dyDescent="0.25">
      <c r="A4" s="17" t="s">
        <v>31</v>
      </c>
      <c r="B4" s="10">
        <f>winst-(B$3*personen)</f>
        <v>0</v>
      </c>
      <c r="C4" s="10">
        <f>winst-(C$3*personen)</f>
        <v>0</v>
      </c>
      <c r="D4" s="10">
        <f>winst-(D$3*personen)</f>
        <v>0</v>
      </c>
    </row>
    <row r="5" spans="1:4" x14ac:dyDescent="0.25">
      <c r="A5" s="17"/>
      <c r="B5" s="10"/>
      <c r="C5" s="10"/>
      <c r="D5" s="10"/>
    </row>
    <row r="6" spans="1:4" x14ac:dyDescent="0.25">
      <c r="A6" s="18" t="s">
        <v>25</v>
      </c>
      <c r="B6" s="13">
        <f>ROUNDDOWN(IF(B$4&gt;VLOOKUP($A6,tabel_vennoot,3,1),VLOOKUP($A6,tabel_vennoot,3,1)*VLOOKUP($A6,tabel_vennoot,2,1),B$4*VLOOKUP($A6,tabel_vennoot,2,1)),0)</f>
        <v>0</v>
      </c>
      <c r="C6" s="13">
        <f>ROUNDDOWN(IF(C$4&gt;VLOOKUP($A6,tabel_vennoot,5,1),VLOOKUP($A6,tabel_vennoot,5,1)*VLOOKUP($A6,tabel_vennoot,4,1),C$4*VLOOKUP($A6,tabel_vennoot,4,1)),0)</f>
        <v>0</v>
      </c>
      <c r="D6" s="13">
        <f>ROUNDDOWN(IF(D$4&gt;VLOOKUP($A6,tabel_vennoot,7,1),VLOOKUP($A6,tabel_vennoot,7,1)*VLOOKUP($A6,tabel_vennoot,6,1),D$4*VLOOKUP($A6,tabel_vennoot,6,1)),0)</f>
        <v>0</v>
      </c>
    </row>
    <row r="7" spans="1:4" x14ac:dyDescent="0.25">
      <c r="A7" s="18" t="s">
        <v>26</v>
      </c>
      <c r="B7" s="13">
        <f>ROUNDDOWN(IF(AND(B$4&gt;VLOOKUP($A6,tabel_vennoot,3,1),B$6&gt;0),(B$4-VLOOKUP($A6,tabel_vennoot,3,1))*VLOOKUP($A7,tabel_vennoot,2,1),0),0)</f>
        <v>0</v>
      </c>
      <c r="C7" s="13">
        <f>ROUNDDOWN(IF(AND(C$4&gt;VLOOKUP($A6,tabel_vennoot,5,1),C$6&gt;0),(C$4-VLOOKUP($A6,tabel_vennoot,5,1))*VLOOKUP($A7,tabel_vennoot,4,1),0),0)</f>
        <v>0</v>
      </c>
      <c r="D7" s="13">
        <f>ROUNDDOWN(IF(AND(D$4&gt;VLOOKUP($A6,tabel_vennoot,7,1),D$6&gt;0),(D$4-VLOOKUP($A6,tabel_vennoot,7,1))*VLOOKUP($A7,tabel_vennoot,6,1),0),0)</f>
        <v>0</v>
      </c>
    </row>
    <row r="8" spans="1:4" x14ac:dyDescent="0.25">
      <c r="A8" s="16" t="s">
        <v>36</v>
      </c>
      <c r="B8" s="9">
        <f>SUM(B$6:B$7)</f>
        <v>0</v>
      </c>
      <c r="C8" s="9">
        <f>SUM(C$6:C$7)</f>
        <v>0</v>
      </c>
      <c r="D8" s="9">
        <f>SUM(D$6:D$7)</f>
        <v>0</v>
      </c>
    </row>
    <row r="9" spans="1:4" x14ac:dyDescent="0.25">
      <c r="A9" s="17" t="s">
        <v>32</v>
      </c>
      <c r="B9" s="10">
        <f>B$4-B$8</f>
        <v>0</v>
      </c>
      <c r="C9" s="10">
        <f>C$4-C$8</f>
        <v>0</v>
      </c>
      <c r="D9" s="10">
        <f>D$4-D$8</f>
        <v>0</v>
      </c>
    </row>
    <row r="10" spans="1:4" x14ac:dyDescent="0.25">
      <c r="A10" s="17"/>
      <c r="B10" s="10"/>
      <c r="C10" s="10"/>
      <c r="D10" s="10"/>
    </row>
    <row r="11" spans="1:4" x14ac:dyDescent="0.25">
      <c r="A11" s="18" t="s">
        <v>5</v>
      </c>
      <c r="B11" s="13">
        <f>ROUNDDOWN(IF(B$3&gt;VLOOKUP($A11,tabel_inkomsten,3,1),VLOOKUP($A11,tabel_inkomsten,3,1)*VLOOKUP($A11,tabel_inkomsten,2,1),B$3*VLOOKUP($A11,tabel_inkomsten,2,1)),0)</f>
        <v>1778</v>
      </c>
      <c r="C11" s="13">
        <f>ROUNDDOWN(IF(C$3&gt;VLOOKUP($A11,tabel_inkomsten,5,1),VLOOKUP($A11,tabel_inkomsten,5,1)*VLOOKUP($A11,tabel_inkomsten,4,1),C$3*VLOOKUP($A11,tabel_inkomsten,4,1)),0)</f>
        <v>1792</v>
      </c>
      <c r="D11" s="13">
        <f>ROUNDDOWN(IF(D$3&gt;VLOOKUP($A11,tabel_inkomsten,7,1),VLOOKUP($A11,tabel_inkomsten,7,1)*VLOOKUP($A11,tabel_inkomsten,6,1),D$3*VLOOKUP($A11,tabel_inkomsten,6,1)),0)</f>
        <v>1834</v>
      </c>
    </row>
    <row r="12" spans="1:4" x14ac:dyDescent="0.25">
      <c r="A12" s="18" t="s">
        <v>6</v>
      </c>
      <c r="B12" s="13">
        <f>ROUNDDOWN(IF(B$3&gt;VLOOKUP($A12,tabel_inkomsten,3,1),(VLOOKUP($A12,tabel_inkomsten,3,1)-VLOOKUP($A11,tabel_inkomsten,3,1))*VLOOKUP($A12,tabel_inkomsten,2,1),IF(B$3&gt;VLOOKUP($A11,tabel_inkomsten,3,1),(B$3-VLOOKUP($A11,tabel_inkomsten,3,1))*VLOOKUP($A12,tabel_inkomsten,2,1),0)),0)</f>
        <v>1815</v>
      </c>
      <c r="C12" s="13">
        <f>ROUNDDOWN(IF(C$3&gt;VLOOKUP($A12,tabel_inkomsten,5,1),(VLOOKUP($A12,tabel_inkomsten,5,1)-VLOOKUP($A11,tabel_inkomsten,5,1))*VLOOKUP($A12,tabel_inkomsten,4,1),IF(C$3&gt;VLOOKUP($A11,tabel_inkomsten,5,1),(C$3-VLOOKUP($A11,tabel_inkomsten,5,1))*VLOOKUP($A12,tabel_inkomsten,4,1),0)),0)</f>
        <v>1828</v>
      </c>
      <c r="D12" s="13">
        <f>ROUNDDOWN(IF(D$3&gt;VLOOKUP($A12,tabel_inkomsten,7,1),(VLOOKUP($A12,tabel_inkomsten,7,1)-VLOOKUP($A11,tabel_inkomsten,7,1))*VLOOKUP($A12,tabel_inkomsten,6,1),IF(D$3&gt;VLOOKUP($A11,tabel_inkomsten,7,1),(D$3-VLOOKUP($A11,tabel_inkomsten,7,1))*VLOOKUP($A12,tabel_inkomsten,6,1),0)),0)</f>
        <v>1454</v>
      </c>
    </row>
    <row r="13" spans="1:4" x14ac:dyDescent="0.25">
      <c r="A13" s="18" t="s">
        <v>7</v>
      </c>
      <c r="B13" s="13">
        <f>ROUNDDOWN(IF(B$3&gt;VLOOKUP($A13,tabel_inkomsten,3,1),(VLOOKUP($A13,tabel_inkomsten,3,1)-VLOOKUP($A12,tabel_inkomsten,3,1))*VLOOKUP($A13,tabel_inkomsten,2,1),IF(B$3&gt;VLOOKUP($A12,tabel_inkomsten,3,1),(B$3-VLOOKUP($A12,tabel_inkomsten,3,1))*VLOOKUP($A13,tabel_inkomsten,2,1),0)),0)</f>
        <v>13578</v>
      </c>
      <c r="C13" s="13">
        <f>ROUNDDOWN(IF(C$3&gt;VLOOKUP($A13,tabel_inkomsten,5,1),(VLOOKUP($A13,tabel_inkomsten,5,1)-VLOOKUP($A12,tabel_inkomsten,5,1))*VLOOKUP($A13,tabel_inkomsten,4,1),IF(C$3&gt;VLOOKUP($A12,tabel_inkomsten,5,1),(C$3-VLOOKUP($A12,tabel_inkomsten,5,1))*VLOOKUP($A13,tabel_inkomsten,4,1),0)),0)</f>
        <v>14098</v>
      </c>
      <c r="D13" s="13">
        <f>ROUNDDOWN(IF(D$3&gt;VLOOKUP($A13,tabel_inkomsten,7,1),(VLOOKUP($A13,tabel_inkomsten,7,1)-VLOOKUP($A12,tabel_inkomsten,7,1))*VLOOKUP($A13,tabel_inkomsten,6,1),IF(D$3&gt;VLOOKUP($A12,tabel_inkomsten,7,1),(D$3-VLOOKUP($A12,tabel_inkomsten,7,1))*VLOOKUP($A13,tabel_inkomsten,6,1),0)),0)</f>
        <v>13032</v>
      </c>
    </row>
    <row r="14" spans="1:4" x14ac:dyDescent="0.25">
      <c r="A14" s="18" t="s">
        <v>8</v>
      </c>
      <c r="B14" s="13">
        <f>ROUNDDOWN(IF(AND(B$3&gt;VLOOKUP($A13,tabel_inkomsten,3,1),B$13&gt;0),(B$3-VLOOKUP($A13,tabel_inkomsten,3,1))*VLOOKUP($A14,tabel_inkomsten,2,1),0),0)</f>
        <v>27522</v>
      </c>
      <c r="C14" s="13">
        <f>ROUNDDOWN(IF(AND(C$3&gt;VLOOKUP($A13,tabel_inkomsten,5,1),C$13&gt;0),(C$3-VLOOKUP($A13,tabel_inkomsten,5,1))*VLOOKUP($A14,tabel_inkomsten,4,1),0),0)</f>
        <v>26751</v>
      </c>
      <c r="D14" s="13">
        <f>ROUNDDOWN(IF(AND(D$3&gt;VLOOKUP($A13,tabel_inkomsten,7,1),D$13&gt;0),(D$3-VLOOKUP($A13,tabel_inkomsten,7,1))*VLOOKUP($A14,tabel_inkomsten,6,1),0),0)</f>
        <v>26647</v>
      </c>
    </row>
    <row r="15" spans="1:4" x14ac:dyDescent="0.25">
      <c r="A15" s="18" t="s">
        <v>9</v>
      </c>
      <c r="B15" s="13">
        <f>ROUNDDOWN(IF(B$3&gt;VLOOKUP($A15,tabel_verzekering,3,1),VLOOKUP($A15,tabel_verzekering,3,1)*VLOOKUP($A15,tabel_verzekering,2,1),B$3*VLOOKUP($A15,tabel_verzekering,2,1)),0)</f>
        <v>5525</v>
      </c>
      <c r="C15" s="13">
        <f>ROUNDDOWN(IF(C$3&gt;VLOOKUP($A15,tabel_verzekering,5,1),VLOOKUP($A15,tabel_verzekering,5,1)*VLOOKUP($A15,tabel_verzekering,4,1),C$3*VLOOKUP($A15,tabel_verzekering,4,1)),0)</f>
        <v>5568</v>
      </c>
      <c r="D15" s="13">
        <f>ROUNDDOWN(IF(D$3&gt;VLOOKUP($A15,tabel_verzekering,7,1),VLOOKUP($A15,tabel_verzekering,7,1)*VLOOKUP($A15,tabel_verzekering,6,1),D$3*VLOOKUP($A15,tabel_verzekering,6,1)),0)</f>
        <v>5568</v>
      </c>
    </row>
    <row r="16" spans="1:4" x14ac:dyDescent="0.25">
      <c r="A16" s="37" t="s">
        <v>10</v>
      </c>
      <c r="B16" s="38">
        <f>ROUNDDOWN(IF(B$3&gt;VLOOKUP($A16,tabel_verzekering,3,1),(VLOOKUP($A16,tabel_verzekering,3,1)-VLOOKUP($A15,tabel_verzekering,3,1))*VLOOKUP($A16,tabel_verzekering,2,1),IF(B$3&gt;VLOOKUP($A15,tabel_verzekering,3,1),(B$3-VLOOKUP($A15,tabel_verzekering,3,1))*VLOOKUP($A16,tabel_verzekering,2,1),0)),0)</f>
        <v>3818</v>
      </c>
      <c r="C16" s="38">
        <f>ROUNDDOWN(IF(C$3&gt;VLOOKUP($A16,tabel_verzekering,5,1),(VLOOKUP($A16,tabel_verzekering,5,1)-VLOOKUP($A15,tabel_verzekering,5,1))*VLOOKUP($A16,tabel_verzekering,4,1),IF(C$3&gt;VLOOKUP($A15,tabel_verzekering,5,1),(C$3-VLOOKUP($A15,tabel_verzekering,5,1))*VLOOKUP($A16,tabel_verzekering,4,1),0)),0)</f>
        <v>3830</v>
      </c>
      <c r="D16" s="38">
        <f>ROUNDDOWN(IF(D$3&gt;VLOOKUP($A16,tabel_verzekering,7,1),(VLOOKUP($A16,tabel_verzekering,7,1)-VLOOKUP($A15,tabel_verzekering,7,1))*VLOOKUP($A16,tabel_verzekering,6,1),IF(D$3&gt;VLOOKUP($A15,tabel_verzekering,7,1),(D$3-VLOOKUP($A15,tabel_verzekering,7,1))*VLOOKUP($A16,tabel_verzekering,6,1),0)),0)</f>
        <v>3830</v>
      </c>
    </row>
    <row r="17" spans="1:6" x14ac:dyDescent="0.25">
      <c r="A17" s="17" t="s">
        <v>40</v>
      </c>
      <c r="B17" s="10">
        <f>SUM(B$11:B$16)</f>
        <v>54036</v>
      </c>
      <c r="C17" s="10">
        <f t="shared" ref="C17:D17" si="0">SUM(C$11:C$16)</f>
        <v>53867</v>
      </c>
      <c r="D17" s="10">
        <f t="shared" si="0"/>
        <v>52365</v>
      </c>
    </row>
    <row r="18" spans="1:6" x14ac:dyDescent="0.25">
      <c r="A18" s="17"/>
      <c r="B18" s="10"/>
      <c r="C18" s="10"/>
      <c r="D18" s="10"/>
    </row>
    <row r="19" spans="1:6" x14ac:dyDescent="0.25">
      <c r="A19" s="18" t="s">
        <v>17</v>
      </c>
      <c r="B19" s="13">
        <f>IF(B$3&gt;VLOOKUP($A19,tabel_hefkorting,3,1),0,VLOOKUP($A19,tabel_hefkorting,2,1))</f>
        <v>0</v>
      </c>
      <c r="C19" s="13">
        <f>IF(C$3&gt;VLOOKUP($A19,tabel_hefkorting,5,1),0,VLOOKUP($A19,tabel_hefkorting,4,1))</f>
        <v>0</v>
      </c>
      <c r="D19" s="13">
        <f>IF(D$3&gt;VLOOKUP($A19,tabel_hefkorting,7,1),0,VLOOKUP($A19,tabel_hefkorting,6,1))</f>
        <v>0</v>
      </c>
    </row>
    <row r="20" spans="1:6" x14ac:dyDescent="0.25">
      <c r="A20" s="18" t="s">
        <v>18</v>
      </c>
      <c r="B20" s="13">
        <f>ROUNDDOWN(IF(B$3&gt;VLOOKUP($A20,tabel_hefkorting,3,1),0,IF(B$3&gt;VLOOKUP($A19,tabel_hefkorting,3,1),(B$3-VLOOKUP($A19,tabel_hefkorting,3,1))*-VLOOKUP($A20,tabel_hefkorting,2,1)+VLOOKUP($A19,tabel_hefkorting,2,1),0)),0)</f>
        <v>0</v>
      </c>
      <c r="C20" s="13">
        <f>ROUNDDOWN(IF(C$3&gt;VLOOKUP($A20,tabel_hefkorting,5,1),0,IF(C$3&gt;VLOOKUP($A19,tabel_hefkorting,5,1),(C$3-VLOOKUP($A19,tabel_hefkorting,5,1))*-VLOOKUP($A20,tabel_hefkorting,4,1)+VLOOKUP($A19,tabel_hefkorting,4,1),0)),0)</f>
        <v>0</v>
      </c>
      <c r="D20" s="13">
        <f>ROUNDDOWN(IF(D$3&gt;VLOOKUP($A20,tabel_hefkorting,7,1),0,IF(D$3&gt;VLOOKUP($A19,tabel_hefkorting,7,1),(D$3-VLOOKUP($A19,tabel_hefkorting,7,1))*-VLOOKUP($A20,tabel_hefkorting,6,1)+VLOOKUP($A19,tabel_hefkorting,6,1),0)),0)</f>
        <v>0</v>
      </c>
    </row>
    <row r="21" spans="1:6" x14ac:dyDescent="0.25">
      <c r="A21" s="18" t="s">
        <v>19</v>
      </c>
      <c r="B21" s="13"/>
      <c r="C21" s="13"/>
      <c r="D21" s="13"/>
    </row>
    <row r="22" spans="1:6" x14ac:dyDescent="0.25">
      <c r="A22" s="18" t="s">
        <v>12</v>
      </c>
      <c r="B22" s="13">
        <f>ROUNDDOWN(IF(B$3&gt;VLOOKUP($A22,tabel_arbeidskorting,3,1),0,B$3*VLOOKUP($A22,tabel_arbeidskorting,2,1)),0)</f>
        <v>0</v>
      </c>
      <c r="C22" s="13">
        <f>ROUNDDOWN(IF(C$3&gt;VLOOKUP($A22,tabel_arbeidskorting,5,1),0,C$3*VLOOKUP($A22,tabel_arbeidskorting,4,1)),0)</f>
        <v>0</v>
      </c>
      <c r="D22" s="13">
        <f>ROUNDDOWN(IF(D$3&gt;VLOOKUP($A22,tabel_arbeidskorting,7,1),0,D$3*VLOOKUP($A22,tabel_arbeidskorting,6,1)),0)</f>
        <v>0</v>
      </c>
    </row>
    <row r="23" spans="1:6" x14ac:dyDescent="0.25">
      <c r="A23" s="18" t="s">
        <v>13</v>
      </c>
      <c r="B23" s="13">
        <f>ROUNDDOWN(IF(B$3&gt;VLOOKUP($A23,tabel_arbeidskorting,3,1),0,IF(B$3&gt;VLOOKUP($A23,tabel_arbeidskorting,3,1),(B$3-VLOOKUP($A23,tabel_arbeidskorting,3,1))*VLOOKUP($A23,tabel_arbeidskorting,2,1),0)),0)</f>
        <v>0</v>
      </c>
      <c r="C23" s="13">
        <f>ROUNDDOWN(IF(C$3&gt;VLOOKUP($A23,tabel_arbeidskorting,5,1),0,IF(C$3&gt;VLOOKUP($A23,tabel_arbeidskorting,5,1),(C$3-VLOOKUP($A23,tabel_arbeidskorting,5,1))*VLOOKUP($A23,tabel_arbeidskorting,4,1),0)),0)</f>
        <v>0</v>
      </c>
      <c r="D23" s="13">
        <f>ROUNDDOWN(IF(D$3&gt;VLOOKUP($A23,tabel_arbeidskorting,7,1),0,IF(D$3&gt;VLOOKUP($A23,tabel_arbeidskorting,7,1),(D$3-VLOOKUP($A23,tabel_arbeidskorting,7,1))*VLOOKUP($A23,tabel_arbeidskorting,6,1),0)),0)</f>
        <v>0</v>
      </c>
    </row>
    <row r="24" spans="1:6" x14ac:dyDescent="0.25">
      <c r="A24" s="18" t="s">
        <v>14</v>
      </c>
      <c r="B24" s="13">
        <f>ROUNDDOWN(IF(B$3&gt;VLOOKUP($A24,tabel_arbeidskorting,3,1),0,VLOOKUP($A24,tabel_arbeidskorting,2,1)),0)</f>
        <v>0</v>
      </c>
      <c r="C24" s="13">
        <f>ROUNDDOWN(IF(C$3&gt;VLOOKUP($A24,tabel_arbeidskorting,5,1),0,VLOOKUP($A24,tabel_arbeidskorting,4,1)),0)</f>
        <v>0</v>
      </c>
      <c r="D24" s="13">
        <f>ROUNDDOWN(IF(D$3&gt;VLOOKUP($A24,tabel_arbeidskorting,7,1),0,VLOOKUP($A24,tabel_arbeidskorting,6,1)),0)</f>
        <v>0</v>
      </c>
    </row>
    <row r="25" spans="1:6" x14ac:dyDescent="0.25">
      <c r="A25" s="18" t="s">
        <v>15</v>
      </c>
      <c r="B25" s="13">
        <f>ROUNDDOWN(IF(B$3&gt;VLOOKUP($A25,tabel_arbeidskorting,3,1),0,IF(B$3&gt;VLOOKUP($A24,tabel_arbeidskorting,3,1),VLOOKUP($A24,tabel_arbeidskorting,2,1)-(B$3-VLOOKUP($A24,tabel_arbeidskorting,3,1))*VLOOKUP($A25,tabel_arbeidskorting,2,1),0)),0)</f>
        <v>70</v>
      </c>
      <c r="C25" s="13">
        <f>ROUNDDOWN(IF(C$3&gt;VLOOKUP($A25,tabel_arbeidskorting,5,1),0,IF(C$3&gt;VLOOKUP($A24,tabel_arbeidskorting,5,1),VLOOKUP($A24,tabel_arbeidskorting,4,1)-(C$3-VLOOKUP($A24,tabel_arbeidskorting,5,1))*VLOOKUP($A25,tabel_arbeidskorting,4,1),0)),0)</f>
        <v>121</v>
      </c>
      <c r="D25" s="13">
        <f>ROUNDDOWN(IF(D$3&gt;VLOOKUP($A25,tabel_arbeidskorting,7,1),0,IF(D$3&gt;VLOOKUP($A24,tabel_arbeidskorting,7,1),VLOOKUP($A24,tabel_arbeidskorting,6,1)-(D$3-VLOOKUP($A24,tabel_arbeidskorting,7,1))*VLOOKUP($A25,tabel_arbeidskorting,6,1),0)),0)</f>
        <v>0</v>
      </c>
    </row>
    <row r="26" spans="1:6" x14ac:dyDescent="0.25">
      <c r="A26" s="37" t="s">
        <v>16</v>
      </c>
      <c r="B26" s="38"/>
      <c r="C26" s="38"/>
      <c r="D26" s="38"/>
    </row>
    <row r="27" spans="1:6" x14ac:dyDescent="0.25">
      <c r="A27" s="22" t="s">
        <v>39</v>
      </c>
      <c r="B27" s="42">
        <f>SUM(B$19:B$26)</f>
        <v>70</v>
      </c>
      <c r="C27" s="42">
        <f>SUM(C$19:C$26)</f>
        <v>121</v>
      </c>
      <c r="D27" s="42">
        <f>SUM(D$19:D$26)</f>
        <v>0</v>
      </c>
    </row>
    <row r="28" spans="1:6" x14ac:dyDescent="0.25">
      <c r="A28" s="17"/>
      <c r="B28" s="10"/>
      <c r="C28" s="10"/>
      <c r="D28" s="10"/>
    </row>
    <row r="29" spans="1:6" x14ac:dyDescent="0.25">
      <c r="A29" s="37" t="s">
        <v>30</v>
      </c>
      <c r="B29" s="38">
        <f>ROUNDDOWN(VLOOKUP($A29,tabel_latent,2,0)*B$9,0)</f>
        <v>0</v>
      </c>
      <c r="C29" s="38">
        <f>ROUNDDOWN(VLOOKUP($A29,tabel_latent,4,0)*C$9,0)</f>
        <v>0</v>
      </c>
      <c r="D29" s="38">
        <f>ROUNDDOWN(VLOOKUP($A29,tabel_latent,6,0)*D$9,0)</f>
        <v>0</v>
      </c>
    </row>
    <row r="30" spans="1:6" x14ac:dyDescent="0.25">
      <c r="A30" s="17" t="s">
        <v>52</v>
      </c>
      <c r="B30" s="42">
        <f>IF(MAX(B$17-B$27,0)+B$29/personen&lt;Nihil_2017,0,MAX(B$17-B$27,0)+B$29/personen)</f>
        <v>53966</v>
      </c>
      <c r="C30" s="42">
        <f>IF(MAX(C$17-C$27,0)+C$29/personen&lt;Nihil_2018,0,MAX(C$17-C$27,0)+C$29/personen)</f>
        <v>53746</v>
      </c>
      <c r="D30" s="42">
        <f>IF(MAX(D$17-D$27,0)+D$29/personen&lt;Nihil_2019,0,MAX(D$17-D$27,0)+D$29/personen)</f>
        <v>52365</v>
      </c>
    </row>
    <row r="31" spans="1:6" x14ac:dyDescent="0.25">
      <c r="A31" s="17"/>
      <c r="B31" s="10"/>
      <c r="C31" s="10"/>
      <c r="D31" s="10"/>
      <c r="F31" s="10"/>
    </row>
    <row r="32" spans="1:6" x14ac:dyDescent="0.25">
      <c r="A32" s="17" t="s">
        <v>38</v>
      </c>
      <c r="B32" s="10">
        <f>B$8</f>
        <v>0</v>
      </c>
      <c r="C32" s="10">
        <f>C$8</f>
        <v>0</v>
      </c>
      <c r="D32" s="10">
        <f>D$8</f>
        <v>0</v>
      </c>
    </row>
    <row r="33" spans="1:4" x14ac:dyDescent="0.25">
      <c r="A33" s="16" t="s">
        <v>42</v>
      </c>
      <c r="B33" s="9">
        <f>B$30*personen</f>
        <v>53966</v>
      </c>
      <c r="C33" s="9">
        <f>C$30*personen</f>
        <v>53746</v>
      </c>
      <c r="D33" s="9">
        <f>D$30*personen</f>
        <v>52365</v>
      </c>
    </row>
    <row r="34" spans="1:4" x14ac:dyDescent="0.25">
      <c r="A34" s="17" t="s">
        <v>41</v>
      </c>
      <c r="B34" s="14">
        <f>SUM(B$32:B$33)</f>
        <v>53966</v>
      </c>
      <c r="C34" s="14">
        <f>SUM(C$32:C$33)</f>
        <v>53746</v>
      </c>
      <c r="D34" s="14">
        <f>SUM(D$32:D$33)</f>
        <v>52365</v>
      </c>
    </row>
    <row r="35" spans="1:4" x14ac:dyDescent="0.25">
      <c r="A35" s="17" t="s">
        <v>24</v>
      </c>
      <c r="B35" s="5">
        <f>IFERROR(B$34/winst,0)</f>
        <v>0.44971666666666665</v>
      </c>
      <c r="C35" s="5">
        <f>IFERROR(C$34/winst,0)</f>
        <v>0.44788333333333336</v>
      </c>
      <c r="D35" s="5">
        <f>IFERROR(D$34/winst,0)</f>
        <v>0.43637500000000001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88D7-0094-48B4-95B7-5922D4151E01}">
  <dimension ref="A1:F35"/>
  <sheetViews>
    <sheetView workbookViewId="0">
      <selection activeCell="D30" sqref="D30"/>
    </sheetView>
  </sheetViews>
  <sheetFormatPr defaultRowHeight="15" x14ac:dyDescent="0.25"/>
  <cols>
    <col min="1" max="1" width="38.85546875" bestFit="1" customWidth="1"/>
    <col min="2" max="4" width="15.7109375" customWidth="1"/>
  </cols>
  <sheetData>
    <row r="1" spans="1:4" x14ac:dyDescent="0.25">
      <c r="A1" s="16"/>
      <c r="B1" s="15">
        <v>2017</v>
      </c>
      <c r="C1" s="15">
        <v>2018</v>
      </c>
      <c r="D1" s="15">
        <v>2019</v>
      </c>
    </row>
    <row r="2" spans="1:4" x14ac:dyDescent="0.25">
      <c r="A2" s="17" t="s">
        <v>0</v>
      </c>
      <c r="B2" s="11">
        <f>winst</f>
        <v>120000</v>
      </c>
      <c r="C2" s="11">
        <f>winst</f>
        <v>120000</v>
      </c>
      <c r="D2" s="11">
        <f>winst</f>
        <v>120000</v>
      </c>
    </row>
    <row r="3" spans="1:4" x14ac:dyDescent="0.25">
      <c r="A3" s="16" t="s">
        <v>28</v>
      </c>
      <c r="B3" s="9">
        <v>0</v>
      </c>
      <c r="C3" s="9">
        <v>0</v>
      </c>
      <c r="D3" s="9">
        <v>0</v>
      </c>
    </row>
    <row r="4" spans="1:4" x14ac:dyDescent="0.25">
      <c r="A4" s="17" t="s">
        <v>31</v>
      </c>
      <c r="B4" s="10">
        <f>winst-(B$3*personen)</f>
        <v>120000</v>
      </c>
      <c r="C4" s="10">
        <f>winst-(C$3*personen)</f>
        <v>120000</v>
      </c>
      <c r="D4" s="10">
        <f>winst-(D$3*personen)</f>
        <v>120000</v>
      </c>
    </row>
    <row r="5" spans="1:4" x14ac:dyDescent="0.25">
      <c r="A5" s="17"/>
      <c r="B5" s="10"/>
      <c r="C5" s="10"/>
      <c r="D5" s="10"/>
    </row>
    <row r="6" spans="1:4" x14ac:dyDescent="0.25">
      <c r="A6" s="18" t="s">
        <v>25</v>
      </c>
      <c r="B6" s="13">
        <f>ROUNDDOWN(IF(B$4&gt;VLOOKUP($A6,tabel_vennoot,3,1),VLOOKUP($A6,tabel_vennoot,3,1)*VLOOKUP($A6,tabel_vennoot,2,1),B$4*VLOOKUP($A6,tabel_vennoot,2,1)),0)</f>
        <v>24000</v>
      </c>
      <c r="C6" s="13">
        <f>ROUNDDOWN(IF(C$4&gt;VLOOKUP($A6,tabel_vennoot,5,1),VLOOKUP($A6,tabel_vennoot,5,1)*VLOOKUP($A6,tabel_vennoot,4,1),C$4*VLOOKUP($A6,tabel_vennoot,4,1)),0)</f>
        <v>24000</v>
      </c>
      <c r="D6" s="13">
        <f>ROUNDDOWN(IF(D$4&gt;VLOOKUP($A6,tabel_vennoot,7,1),VLOOKUP($A6,tabel_vennoot,7,1)*VLOOKUP($A6,tabel_vennoot,6,1),D$4*VLOOKUP($A6,tabel_vennoot,6,1)),0)</f>
        <v>24000</v>
      </c>
    </row>
    <row r="7" spans="1:4" x14ac:dyDescent="0.25">
      <c r="A7" s="18" t="s">
        <v>26</v>
      </c>
      <c r="B7" s="13">
        <f>ROUNDDOWN(IF(AND(B$4&gt;VLOOKUP($A6,tabel_vennoot,3,1),B$6&gt;0),(B$4-VLOOKUP($A6,tabel_vennoot,3,1))*VLOOKUP($A7,tabel_vennoot,2,1),0),0)</f>
        <v>0</v>
      </c>
      <c r="C7" s="13">
        <f>ROUNDDOWN(IF(AND(C$4&gt;VLOOKUP($A6,tabel_vennoot,5,1),C$6&gt;0),(C$4-VLOOKUP($A6,tabel_vennoot,5,1))*VLOOKUP($A7,tabel_vennoot,4,1),0),0)</f>
        <v>0</v>
      </c>
      <c r="D7" s="13">
        <f>ROUNDDOWN(IF(AND(D$4&gt;VLOOKUP($A6,tabel_vennoot,7,1),D$6&gt;0),(D$4-VLOOKUP($A6,tabel_vennoot,7,1))*VLOOKUP($A7,tabel_vennoot,6,1),0),0)</f>
        <v>0</v>
      </c>
    </row>
    <row r="8" spans="1:4" x14ac:dyDescent="0.25">
      <c r="A8" s="16" t="s">
        <v>36</v>
      </c>
      <c r="B8" s="9">
        <f>SUM(B$6:B$7)</f>
        <v>24000</v>
      </c>
      <c r="C8" s="9">
        <f>SUM(C$6:C$7)</f>
        <v>24000</v>
      </c>
      <c r="D8" s="9">
        <f>SUM(D$6:D$7)</f>
        <v>24000</v>
      </c>
    </row>
    <row r="9" spans="1:4" x14ac:dyDescent="0.25">
      <c r="A9" s="17" t="s">
        <v>32</v>
      </c>
      <c r="B9" s="10">
        <f>B$4-B$8</f>
        <v>96000</v>
      </c>
      <c r="C9" s="10">
        <f>C$4-C$8</f>
        <v>96000</v>
      </c>
      <c r="D9" s="10">
        <f>D$4-D$8</f>
        <v>96000</v>
      </c>
    </row>
    <row r="10" spans="1:4" x14ac:dyDescent="0.25">
      <c r="A10" s="17"/>
      <c r="B10" s="10"/>
      <c r="C10" s="10"/>
      <c r="D10" s="10"/>
    </row>
    <row r="11" spans="1:4" x14ac:dyDescent="0.25">
      <c r="A11" s="18" t="s">
        <v>5</v>
      </c>
      <c r="B11" s="13">
        <f>ROUNDDOWN(IF(B$3&gt;VLOOKUP($A11,tabel_inkomsten,3,1),VLOOKUP($A11,tabel_inkomsten,3,1)*VLOOKUP($A11,tabel_inkomsten,2,1),B$3*VLOOKUP($A11,tabel_inkomsten,2,1)),0)</f>
        <v>0</v>
      </c>
      <c r="C11" s="13">
        <f>ROUNDDOWN(IF(C$3&gt;VLOOKUP($A11,tabel_inkomsten,5,1),VLOOKUP($A11,tabel_inkomsten,5,1)*VLOOKUP($A11,tabel_inkomsten,4,1),C$3*VLOOKUP($A11,tabel_inkomsten,4,1)),0)</f>
        <v>0</v>
      </c>
      <c r="D11" s="13">
        <f>ROUNDDOWN(IF(D$3&gt;VLOOKUP($A11,tabel_inkomsten,7,1),VLOOKUP($A11,tabel_inkomsten,7,1)*VLOOKUP($A11,tabel_inkomsten,6,1),D$3*VLOOKUP($A11,tabel_inkomsten,6,1)),0)</f>
        <v>0</v>
      </c>
    </row>
    <row r="12" spans="1:4" x14ac:dyDescent="0.25">
      <c r="A12" s="18" t="s">
        <v>6</v>
      </c>
      <c r="B12" s="13">
        <f>ROUNDDOWN(IF(B$3&gt;VLOOKUP($A12,tabel_inkomsten,3,1),(VLOOKUP($A12,tabel_inkomsten,3,1)-VLOOKUP($A11,tabel_inkomsten,3,1))*VLOOKUP($A12,tabel_inkomsten,2,1),IF(B$3&gt;VLOOKUP($A11,tabel_inkomsten,3,1),(B$3-VLOOKUP($A11,tabel_inkomsten,3,1))*VLOOKUP($A12,tabel_inkomsten,2,1),0)),0)</f>
        <v>0</v>
      </c>
      <c r="C12" s="13">
        <f>ROUNDDOWN(IF(C$3&gt;VLOOKUP($A12,tabel_inkomsten,5,1),(VLOOKUP($A12,tabel_inkomsten,5,1)-VLOOKUP($A11,tabel_inkomsten,5,1))*VLOOKUP($A12,tabel_inkomsten,4,1),IF(C$3&gt;VLOOKUP($A11,tabel_inkomsten,5,1),(C$3-VLOOKUP($A11,tabel_inkomsten,5,1))*VLOOKUP($A12,tabel_inkomsten,4,1),0)),0)</f>
        <v>0</v>
      </c>
      <c r="D12" s="13">
        <f>ROUNDDOWN(IF(D$3&gt;VLOOKUP($A12,tabel_inkomsten,7,1),(VLOOKUP($A12,tabel_inkomsten,7,1)-VLOOKUP($A11,tabel_inkomsten,7,1))*VLOOKUP($A12,tabel_inkomsten,6,1),IF(D$3&gt;VLOOKUP($A11,tabel_inkomsten,7,1),(D$3-VLOOKUP($A11,tabel_inkomsten,7,1))*VLOOKUP($A12,tabel_inkomsten,6,1),0)),0)</f>
        <v>0</v>
      </c>
    </row>
    <row r="13" spans="1:4" x14ac:dyDescent="0.25">
      <c r="A13" s="18" t="s">
        <v>7</v>
      </c>
      <c r="B13" s="13">
        <f>ROUNDDOWN(IF(B$3&gt;VLOOKUP($A13,tabel_inkomsten,3,1),(VLOOKUP($A13,tabel_inkomsten,3,1)-VLOOKUP($A12,tabel_inkomsten,3,1))*VLOOKUP($A13,tabel_inkomsten,2,1),IF(B$3&gt;VLOOKUP($A12,tabel_inkomsten,3,1),(B$3-VLOOKUP($A12,tabel_inkomsten,3,1))*VLOOKUP($A13,tabel_inkomsten,2,1),0)),0)</f>
        <v>0</v>
      </c>
      <c r="C13" s="13">
        <f>ROUNDDOWN(IF(C$3&gt;VLOOKUP($A13,tabel_inkomsten,5,1),(VLOOKUP($A13,tabel_inkomsten,5,1)-VLOOKUP($A12,tabel_inkomsten,5,1))*VLOOKUP($A13,tabel_inkomsten,4,1),IF(C$3&gt;VLOOKUP($A12,tabel_inkomsten,5,1),(C$3-VLOOKUP($A12,tabel_inkomsten,5,1))*VLOOKUP($A13,tabel_inkomsten,4,1),0)),0)</f>
        <v>0</v>
      </c>
      <c r="D13" s="13">
        <f>ROUNDDOWN(IF(D$3&gt;VLOOKUP($A13,tabel_inkomsten,7,1),(VLOOKUP($A13,tabel_inkomsten,7,1)-VLOOKUP($A12,tabel_inkomsten,7,1))*VLOOKUP($A13,tabel_inkomsten,6,1),IF(D$3&gt;VLOOKUP($A12,tabel_inkomsten,7,1),(D$3-VLOOKUP($A12,tabel_inkomsten,7,1))*VLOOKUP($A13,tabel_inkomsten,6,1),0)),0)</f>
        <v>0</v>
      </c>
    </row>
    <row r="14" spans="1:4" x14ac:dyDescent="0.25">
      <c r="A14" s="18" t="s">
        <v>8</v>
      </c>
      <c r="B14" s="13">
        <f>ROUNDDOWN(IF(AND(B$3&gt;VLOOKUP($A13,tabel_inkomsten,3,1),B$13&gt;0),(B$3-VLOOKUP($A13,tabel_inkomsten,3,1))*VLOOKUP($A14,tabel_inkomsten,2,1),0),0)</f>
        <v>0</v>
      </c>
      <c r="C14" s="13">
        <f>ROUNDDOWN(IF(AND(C$3&gt;VLOOKUP($A13,tabel_inkomsten,5,1),C$13&gt;0),(C$3-VLOOKUP($A13,tabel_inkomsten,5,1))*VLOOKUP($A14,tabel_inkomsten,4,1),0),0)</f>
        <v>0</v>
      </c>
      <c r="D14" s="13">
        <f>ROUNDDOWN(IF(AND(D$3&gt;VLOOKUP($A13,tabel_inkomsten,7,1),D$13&gt;0),(D$3-VLOOKUP($A13,tabel_inkomsten,7,1))*VLOOKUP($A14,tabel_inkomsten,6,1),0),0)</f>
        <v>0</v>
      </c>
    </row>
    <row r="15" spans="1:4" x14ac:dyDescent="0.25">
      <c r="A15" s="18" t="s">
        <v>9</v>
      </c>
      <c r="B15" s="13">
        <f>ROUNDDOWN(IF(B$3&gt;VLOOKUP($A15,tabel_verzekering,3,1),VLOOKUP($A15,tabel_verzekering,3,1)*VLOOKUP($A15,tabel_verzekering,2,1),B$3*VLOOKUP($A15,tabel_verzekering,2,1)),0)</f>
        <v>0</v>
      </c>
      <c r="C15" s="13">
        <f>ROUNDDOWN(IF(C$3&gt;VLOOKUP($A15,tabel_verzekering,5,1),VLOOKUP($A15,tabel_verzekering,5,1)*VLOOKUP($A15,tabel_verzekering,4,1),C$3*VLOOKUP($A15,tabel_verzekering,4,1)),0)</f>
        <v>0</v>
      </c>
      <c r="D15" s="13">
        <f>ROUNDDOWN(IF(D$3&gt;VLOOKUP($A15,tabel_verzekering,7,1),VLOOKUP($A15,tabel_verzekering,7,1)*VLOOKUP($A15,tabel_verzekering,6,1),D$3*VLOOKUP($A15,tabel_verzekering,6,1)),0)</f>
        <v>0</v>
      </c>
    </row>
    <row r="16" spans="1:4" x14ac:dyDescent="0.25">
      <c r="A16" s="37" t="s">
        <v>10</v>
      </c>
      <c r="B16" s="38">
        <f>ROUNDDOWN(IF(B$3&gt;VLOOKUP($A16,tabel_verzekering,3,1),(VLOOKUP($A16,tabel_verzekering,3,1)-VLOOKUP($A15,tabel_verzekering,3,1))*VLOOKUP($A16,tabel_verzekering,2,1),IF(B$3&gt;VLOOKUP($A15,tabel_verzekering,3,1),(B$3-VLOOKUP($A15,tabel_verzekering,3,1))*VLOOKUP($A16,tabel_verzekering,2,1),0)),0)</f>
        <v>0</v>
      </c>
      <c r="C16" s="38">
        <f>ROUNDDOWN(IF(C$3&gt;VLOOKUP($A16,tabel_verzekering,5,1),(VLOOKUP($A16,tabel_verzekering,5,1)-VLOOKUP($A15,tabel_verzekering,5,1))*VLOOKUP($A16,tabel_verzekering,4,1),IF(C$3&gt;VLOOKUP($A15,tabel_verzekering,5,1),(C$3-VLOOKUP($A15,tabel_verzekering,5,1))*VLOOKUP($A16,tabel_verzekering,4,1),0)),0)</f>
        <v>0</v>
      </c>
      <c r="D16" s="38">
        <f>ROUNDDOWN(IF(D$3&gt;VLOOKUP($A16,tabel_verzekering,7,1),(VLOOKUP($A16,tabel_verzekering,7,1)-VLOOKUP($A15,tabel_verzekering,7,1))*VLOOKUP($A16,tabel_verzekering,6,1),IF(D$3&gt;VLOOKUP($A15,tabel_verzekering,7,1),(D$3-VLOOKUP($A15,tabel_verzekering,7,1))*VLOOKUP($A16,tabel_verzekering,6,1),0)),0)</f>
        <v>0</v>
      </c>
    </row>
    <row r="17" spans="1:6" x14ac:dyDescent="0.25">
      <c r="A17" s="17" t="s">
        <v>40</v>
      </c>
      <c r="B17" s="10">
        <f>SUM(B$11:B$16)</f>
        <v>0</v>
      </c>
      <c r="C17" s="10">
        <f t="shared" ref="C17:D17" si="0">SUM(C$11:C$16)</f>
        <v>0</v>
      </c>
      <c r="D17" s="10">
        <f t="shared" si="0"/>
        <v>0</v>
      </c>
    </row>
    <row r="18" spans="1:6" x14ac:dyDescent="0.25">
      <c r="A18" s="17"/>
      <c r="B18" s="10"/>
      <c r="C18" s="10"/>
      <c r="D18" s="10"/>
    </row>
    <row r="19" spans="1:6" x14ac:dyDescent="0.25">
      <c r="A19" s="18" t="s">
        <v>17</v>
      </c>
      <c r="B19" s="13">
        <f>IF(B$3&gt;VLOOKUP($A19,tabel_hefkorting,3,1),0,VLOOKUP($A19,tabel_hefkorting,2,1))</f>
        <v>2254</v>
      </c>
      <c r="C19" s="13">
        <f>IF(C$3&gt;VLOOKUP($A19,tabel_hefkorting,5,1),0,VLOOKUP($A19,tabel_hefkorting,4,1))</f>
        <v>2265</v>
      </c>
      <c r="D19" s="13">
        <f>IF(D$3&gt;VLOOKUP($A19,tabel_hefkorting,7,1),0,VLOOKUP($A19,tabel_hefkorting,6,1))</f>
        <v>2477</v>
      </c>
    </row>
    <row r="20" spans="1:6" x14ac:dyDescent="0.25">
      <c r="A20" s="18" t="s">
        <v>18</v>
      </c>
      <c r="B20" s="13">
        <f>ROUNDDOWN(IF(B$3&gt;VLOOKUP($A20,tabel_hefkorting,3,1),0,IF(B$3&gt;VLOOKUP($A19,tabel_hefkorting,3,1),(B$3-VLOOKUP($A19,tabel_hefkorting,3,1))*-VLOOKUP($A20,tabel_hefkorting,2,1)+VLOOKUP($A19,tabel_hefkorting,2,1),0)),0)</f>
        <v>0</v>
      </c>
      <c r="C20" s="13">
        <f>ROUNDDOWN(IF(C$3&gt;VLOOKUP($A20,tabel_hefkorting,5,1),0,IF(C$3&gt;VLOOKUP($A19,tabel_hefkorting,5,1),(C$3-VLOOKUP($A19,tabel_hefkorting,5,1))*-VLOOKUP($A20,tabel_hefkorting,4,1)+VLOOKUP($A19,tabel_hefkorting,4,1),0)),0)</f>
        <v>0</v>
      </c>
      <c r="D20" s="13">
        <f>ROUNDDOWN(IF(D$3&gt;VLOOKUP($A20,tabel_hefkorting,7,1),0,IF(D$3&gt;VLOOKUP($A19,tabel_hefkorting,7,1),(D$3-VLOOKUP($A19,tabel_hefkorting,7,1))*-VLOOKUP($A20,tabel_hefkorting,6,1)+VLOOKUP($A19,tabel_hefkorting,6,1),0)),0)</f>
        <v>0</v>
      </c>
    </row>
    <row r="21" spans="1:6" x14ac:dyDescent="0.25">
      <c r="A21" s="18" t="s">
        <v>19</v>
      </c>
      <c r="B21" s="13"/>
      <c r="C21" s="13"/>
      <c r="D21" s="13"/>
    </row>
    <row r="22" spans="1:6" x14ac:dyDescent="0.25">
      <c r="A22" s="18" t="s">
        <v>12</v>
      </c>
      <c r="B22" s="13">
        <f>ROUNDDOWN(IF(B$3&gt;VLOOKUP($A22,tabel_arbeidskorting,3,1),0,B$3*VLOOKUP($A22,tabel_arbeidskorting,2,1)),0)</f>
        <v>0</v>
      </c>
      <c r="C22" s="13">
        <f>ROUNDDOWN(IF(C$3&gt;VLOOKUP($A22,tabel_arbeidskorting,5,1),0,C$3*VLOOKUP($A22,tabel_arbeidskorting,4,1)),0)</f>
        <v>0</v>
      </c>
      <c r="D22" s="13">
        <f>ROUNDDOWN(IF(D$3&gt;VLOOKUP($A22,tabel_arbeidskorting,7,1),0,D$3*VLOOKUP($A22,tabel_arbeidskorting,6,1)),0)</f>
        <v>0</v>
      </c>
    </row>
    <row r="23" spans="1:6" x14ac:dyDescent="0.25">
      <c r="A23" s="18" t="s">
        <v>13</v>
      </c>
      <c r="B23" s="13">
        <f>ROUNDDOWN(IF(B$3&gt;VLOOKUP($A23,tabel_arbeidskorting,3,1),0,IF(B$3&gt;VLOOKUP($A23,tabel_arbeidskorting,3,1),(B$3-VLOOKUP($A23,tabel_arbeidskorting,3,1))*VLOOKUP($A23,tabel_arbeidskorting,2,1),0)),0)</f>
        <v>0</v>
      </c>
      <c r="C23" s="13">
        <f>ROUNDDOWN(IF(C$3&gt;VLOOKUP($A23,tabel_arbeidskorting,5,1),0,IF(C$3&gt;VLOOKUP($A23,tabel_arbeidskorting,5,1),(C$3-VLOOKUP($A23,tabel_arbeidskorting,5,1))*VLOOKUP($A23,tabel_arbeidskorting,4,1),0)),0)</f>
        <v>0</v>
      </c>
      <c r="D23" s="13">
        <f>ROUNDDOWN(IF(D$3&gt;VLOOKUP($A23,tabel_arbeidskorting,7,1),0,IF(D$3&gt;VLOOKUP($A23,tabel_arbeidskorting,7,1),(D$3-VLOOKUP($A23,tabel_arbeidskorting,7,1))*VLOOKUP($A23,tabel_arbeidskorting,6,1),0)),0)</f>
        <v>0</v>
      </c>
    </row>
    <row r="24" spans="1:6" x14ac:dyDescent="0.25">
      <c r="A24" s="18" t="s">
        <v>14</v>
      </c>
      <c r="B24" s="13">
        <f>ROUNDDOWN(IF(B$3&gt;VLOOKUP($A24,tabel_arbeidskorting,3,1),0,VLOOKUP($A24,tabel_arbeidskorting,2,1)),0)</f>
        <v>3223</v>
      </c>
      <c r="C24" s="13">
        <f>ROUNDDOWN(IF(C$3&gt;VLOOKUP($A24,tabel_arbeidskorting,5,1),0,VLOOKUP($A24,tabel_arbeidskorting,4,1)),0)</f>
        <v>3249</v>
      </c>
      <c r="D24" s="13">
        <f>ROUNDDOWN(IF(D$3&gt;VLOOKUP($A24,tabel_arbeidskorting,7,1),0,VLOOKUP($A24,tabel_arbeidskorting,6,1)),0)</f>
        <v>3399</v>
      </c>
    </row>
    <row r="25" spans="1:6" x14ac:dyDescent="0.25">
      <c r="A25" s="18" t="s">
        <v>15</v>
      </c>
      <c r="B25" s="13">
        <f>ROUNDDOWN(IF(B$3&gt;VLOOKUP($A25,tabel_arbeidskorting,3,1),0,IF(B$3&gt;VLOOKUP($A24,tabel_arbeidskorting,3,1),VLOOKUP($A24,tabel_arbeidskorting,2,1)-(B$3-VLOOKUP($A24,tabel_arbeidskorting,3,1))*VLOOKUP($A25,tabel_arbeidskorting,2,1),0)),0)</f>
        <v>0</v>
      </c>
      <c r="C25" s="13">
        <f>ROUNDDOWN(IF(C$3&gt;VLOOKUP($A25,tabel_arbeidskorting,5,1),0,IF(C$3&gt;VLOOKUP($A24,tabel_arbeidskorting,5,1),VLOOKUP($A24,tabel_arbeidskorting,4,1)-(C$3-VLOOKUP($A24,tabel_arbeidskorting,5,1))*VLOOKUP($A25,tabel_arbeidskorting,4,1),0)),0)</f>
        <v>0</v>
      </c>
      <c r="D25" s="13">
        <f>ROUNDDOWN(IF(D$3&gt;VLOOKUP($A25,tabel_arbeidskorting,7,1),0,IF(D$3&gt;VLOOKUP($A24,tabel_arbeidskorting,7,1),VLOOKUP($A24,tabel_arbeidskorting,6,1)-(D$3-VLOOKUP($A24,tabel_arbeidskorting,7,1))*VLOOKUP($A25,tabel_arbeidskorting,6,1),0)),0)</f>
        <v>0</v>
      </c>
      <c r="F25" s="41"/>
    </row>
    <row r="26" spans="1:6" x14ac:dyDescent="0.25">
      <c r="A26" s="37" t="s">
        <v>16</v>
      </c>
      <c r="B26" s="38"/>
      <c r="C26" s="38"/>
      <c r="D26" s="38"/>
    </row>
    <row r="27" spans="1:6" x14ac:dyDescent="0.25">
      <c r="A27" s="22" t="s">
        <v>39</v>
      </c>
      <c r="B27" s="42">
        <f>SUM(B$19:B$26)</f>
        <v>5477</v>
      </c>
      <c r="C27" s="42">
        <f>SUM(C$19:C$26)</f>
        <v>5514</v>
      </c>
      <c r="D27" s="42">
        <f>SUM(D$19:D$26)</f>
        <v>5876</v>
      </c>
    </row>
    <row r="28" spans="1:6" s="41" customFormat="1" x14ac:dyDescent="0.25">
      <c r="A28" s="39"/>
      <c r="B28" s="40"/>
      <c r="C28" s="40"/>
      <c r="D28" s="40"/>
    </row>
    <row r="29" spans="1:6" x14ac:dyDescent="0.25">
      <c r="A29" s="37" t="s">
        <v>30</v>
      </c>
      <c r="B29" s="38">
        <f>ROUNDDOWN(VLOOKUP($A29,tabel_latent,2,0)*B$9,0)</f>
        <v>24000</v>
      </c>
      <c r="C29" s="38">
        <f>ROUNDDOWN(VLOOKUP($A29,tabel_latent,2,0)*C$9,0)</f>
        <v>24000</v>
      </c>
      <c r="D29" s="38">
        <f>ROUNDDOWN(VLOOKUP($A29,tabel_latent,2,0)*D$9,0)</f>
        <v>24000</v>
      </c>
    </row>
    <row r="30" spans="1:6" x14ac:dyDescent="0.25">
      <c r="A30" s="17" t="s">
        <v>52</v>
      </c>
      <c r="B30" s="42">
        <f>IF(MAX(B$17-B$27,0)+B$29/personen&lt;Nihil_2017,0,MAX(B$17-B$27,0)+B$29/personen)</f>
        <v>24000</v>
      </c>
      <c r="C30" s="42">
        <f>IF(MAX(C$17-C$27,0)+C$29/personen&lt;Nihil_2018,0,MAX(C$17-C$27,0)+C$29/personen)</f>
        <v>24000</v>
      </c>
      <c r="D30" s="42">
        <f>IF(MAX(D$17-D$27,0)+D$29/personen&lt;Nihil_2019,0,MAX(D$17-D$27,0)+D$29/personen)</f>
        <v>24000</v>
      </c>
    </row>
    <row r="31" spans="1:6" x14ac:dyDescent="0.25">
      <c r="A31" s="17"/>
      <c r="B31" s="10"/>
      <c r="C31" s="10"/>
      <c r="D31" s="10"/>
      <c r="F31" s="10"/>
    </row>
    <row r="32" spans="1:6" x14ac:dyDescent="0.25">
      <c r="A32" s="17" t="s">
        <v>38</v>
      </c>
      <c r="B32" s="10">
        <f>B$8</f>
        <v>24000</v>
      </c>
      <c r="C32" s="10">
        <f>C$8</f>
        <v>24000</v>
      </c>
      <c r="D32" s="10">
        <f>D$8</f>
        <v>24000</v>
      </c>
    </row>
    <row r="33" spans="1:4" x14ac:dyDescent="0.25">
      <c r="A33" s="16" t="s">
        <v>42</v>
      </c>
      <c r="B33" s="9">
        <f>B$30*personen</f>
        <v>24000</v>
      </c>
      <c r="C33" s="9">
        <f>C$30*personen</f>
        <v>24000</v>
      </c>
      <c r="D33" s="9">
        <f>D$30*personen</f>
        <v>24000</v>
      </c>
    </row>
    <row r="34" spans="1:4" x14ac:dyDescent="0.25">
      <c r="A34" s="17" t="s">
        <v>41</v>
      </c>
      <c r="B34" s="14">
        <f>SUM(B$32:B$33)</f>
        <v>48000</v>
      </c>
      <c r="C34" s="14">
        <f>SUM(C$32:C$33)</f>
        <v>48000</v>
      </c>
      <c r="D34" s="14">
        <f>SUM(D$32:D$33)</f>
        <v>48000</v>
      </c>
    </row>
    <row r="35" spans="1:4" x14ac:dyDescent="0.25">
      <c r="A35" s="17" t="s">
        <v>24</v>
      </c>
      <c r="B35" s="5">
        <f>IFERROR(B$34/winst,0)</f>
        <v>0.4</v>
      </c>
      <c r="C35" s="5">
        <f>IFERROR(C$34/winst,0)</f>
        <v>0.4</v>
      </c>
      <c r="D35" s="5">
        <f>IFERROR(D$34/winst,0)</f>
        <v>0.4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zoomScaleNormal="100" workbookViewId="0">
      <selection activeCell="B25" sqref="B25"/>
    </sheetView>
  </sheetViews>
  <sheetFormatPr defaultRowHeight="15" x14ac:dyDescent="0.25"/>
  <cols>
    <col min="1" max="1" width="32.42578125" bestFit="1" customWidth="1"/>
    <col min="2" max="2" width="11.140625" bestFit="1" customWidth="1"/>
    <col min="3" max="3" width="12.42578125" bestFit="1" customWidth="1"/>
    <col min="4" max="4" width="10.42578125" bestFit="1" customWidth="1"/>
    <col min="5" max="5" width="12.42578125" bestFit="1" customWidth="1"/>
    <col min="6" max="6" width="10.42578125" bestFit="1" customWidth="1"/>
    <col min="7" max="7" width="12.42578125" bestFit="1" customWidth="1"/>
  </cols>
  <sheetData>
    <row r="1" spans="1:9" x14ac:dyDescent="0.25">
      <c r="B1" s="62">
        <v>2017</v>
      </c>
      <c r="C1" s="62"/>
      <c r="D1" s="62">
        <v>2018</v>
      </c>
      <c r="E1" s="62"/>
      <c r="F1" s="62">
        <v>2019</v>
      </c>
      <c r="G1" s="62"/>
    </row>
    <row r="2" spans="1:9" x14ac:dyDescent="0.25">
      <c r="A2" t="s">
        <v>2</v>
      </c>
      <c r="B2" s="1">
        <v>9.8000000000000004E-2</v>
      </c>
      <c r="C2" s="3">
        <v>8946</v>
      </c>
      <c r="D2" s="1">
        <v>9.8000000000000004E-2</v>
      </c>
      <c r="E2" s="3">
        <v>8946</v>
      </c>
      <c r="F2" s="1">
        <v>9.4399999999999998E-2</v>
      </c>
      <c r="G2" s="3">
        <v>8999</v>
      </c>
    </row>
    <row r="3" spans="1:9" x14ac:dyDescent="0.25">
      <c r="A3" t="s">
        <v>4</v>
      </c>
      <c r="B3" s="3">
        <v>7280</v>
      </c>
      <c r="D3" s="3">
        <v>7280</v>
      </c>
      <c r="F3" s="3">
        <v>7280</v>
      </c>
    </row>
    <row r="4" spans="1:9" x14ac:dyDescent="0.25">
      <c r="A4" t="s">
        <v>3</v>
      </c>
      <c r="B4" s="2">
        <v>0.14000000000000001</v>
      </c>
      <c r="D4" s="2">
        <v>0.14000000000000001</v>
      </c>
      <c r="F4" s="2">
        <v>0.14000000000000001</v>
      </c>
    </row>
    <row r="5" spans="1:9" x14ac:dyDescent="0.25">
      <c r="B5" s="2"/>
      <c r="D5" s="2"/>
      <c r="F5" s="2"/>
    </row>
    <row r="6" spans="1:9" x14ac:dyDescent="0.25">
      <c r="A6" t="s">
        <v>5</v>
      </c>
      <c r="B6" s="1">
        <v>8.8999999999999996E-2</v>
      </c>
      <c r="C6" s="3">
        <v>19982</v>
      </c>
      <c r="D6" s="1">
        <v>8.8999999999999996E-2</v>
      </c>
      <c r="E6" s="3">
        <v>20141</v>
      </c>
      <c r="F6" s="1">
        <f>36.65%-F11</f>
        <v>8.9999999999999969E-2</v>
      </c>
      <c r="G6" s="3">
        <v>20384</v>
      </c>
    </row>
    <row r="7" spans="1:9" x14ac:dyDescent="0.25">
      <c r="A7" t="s">
        <v>6</v>
      </c>
      <c r="B7" s="1">
        <v>0.13150000000000001</v>
      </c>
      <c r="C7" s="3">
        <v>33791</v>
      </c>
      <c r="D7" s="1">
        <v>0.13200000000000001</v>
      </c>
      <c r="E7" s="3">
        <v>33993</v>
      </c>
      <c r="F7" s="1">
        <f>38.1%-F12</f>
        <v>0.10449999999999998</v>
      </c>
      <c r="G7" s="3">
        <v>34300</v>
      </c>
    </row>
    <row r="8" spans="1:9" x14ac:dyDescent="0.25">
      <c r="A8" t="s">
        <v>7</v>
      </c>
      <c r="B8" s="1">
        <v>0.40799999999999997</v>
      </c>
      <c r="C8" s="3">
        <v>67072</v>
      </c>
      <c r="D8" s="1">
        <v>0.40849999999999997</v>
      </c>
      <c r="E8" s="3">
        <v>68506</v>
      </c>
      <c r="F8" s="1">
        <v>0.38100000000000001</v>
      </c>
      <c r="G8" s="3">
        <v>68507</v>
      </c>
    </row>
    <row r="9" spans="1:9" x14ac:dyDescent="0.25">
      <c r="A9" t="s">
        <v>8</v>
      </c>
      <c r="B9" s="1">
        <v>0.52</v>
      </c>
      <c r="C9" s="3"/>
      <c r="D9" s="1">
        <v>0.51949999999999996</v>
      </c>
      <c r="E9" s="3"/>
      <c r="F9" s="1">
        <v>0.51749999999999996</v>
      </c>
      <c r="G9" s="3"/>
    </row>
    <row r="10" spans="1:9" x14ac:dyDescent="0.25">
      <c r="B10" s="1"/>
      <c r="C10" s="3"/>
      <c r="D10" s="1"/>
      <c r="E10" s="3"/>
      <c r="F10" s="1"/>
      <c r="G10" s="3"/>
    </row>
    <row r="11" spans="1:9" x14ac:dyDescent="0.25">
      <c r="A11" t="s">
        <v>9</v>
      </c>
      <c r="B11" s="1">
        <v>0.27650000000000002</v>
      </c>
      <c r="C11" s="3">
        <v>19982</v>
      </c>
      <c r="D11" s="1">
        <v>0.27650000000000002</v>
      </c>
      <c r="E11" s="3">
        <v>20141</v>
      </c>
      <c r="F11" s="1">
        <v>0.27650000000000002</v>
      </c>
      <c r="G11" s="3">
        <v>20141</v>
      </c>
    </row>
    <row r="12" spans="1:9" x14ac:dyDescent="0.25">
      <c r="A12" t="s">
        <v>10</v>
      </c>
      <c r="B12" s="1">
        <v>0.27650000000000002</v>
      </c>
      <c r="C12" s="3">
        <v>33791</v>
      </c>
      <c r="D12" s="1">
        <v>0.27650000000000002</v>
      </c>
      <c r="E12" s="3">
        <v>33993</v>
      </c>
      <c r="F12" s="1">
        <v>0.27650000000000002</v>
      </c>
      <c r="G12" s="3">
        <v>33993</v>
      </c>
    </row>
    <row r="14" spans="1:9" x14ac:dyDescent="0.25">
      <c r="A14" t="s">
        <v>17</v>
      </c>
      <c r="B14" s="3">
        <v>2254</v>
      </c>
      <c r="C14" s="3">
        <v>19982</v>
      </c>
      <c r="D14" s="3">
        <v>2265</v>
      </c>
      <c r="E14" s="3">
        <v>20142</v>
      </c>
      <c r="F14" s="3">
        <v>2477</v>
      </c>
      <c r="G14" s="3">
        <v>20384</v>
      </c>
    </row>
    <row r="15" spans="1:9" x14ac:dyDescent="0.25">
      <c r="A15" t="s">
        <v>18</v>
      </c>
      <c r="B15" s="4">
        <v>4.7870000000000003E-2</v>
      </c>
      <c r="C15" s="3">
        <v>67068</v>
      </c>
      <c r="D15" s="6">
        <v>4.6829999999999997E-2</v>
      </c>
      <c r="E15" s="3">
        <v>68507</v>
      </c>
      <c r="F15" s="6">
        <v>5.1470000000000002E-2</v>
      </c>
      <c r="G15" s="3">
        <v>68507</v>
      </c>
      <c r="I15" s="7" t="s">
        <v>11</v>
      </c>
    </row>
    <row r="16" spans="1:9" x14ac:dyDescent="0.25">
      <c r="A16" t="s">
        <v>19</v>
      </c>
      <c r="B16" s="4"/>
      <c r="C16" s="3"/>
      <c r="D16" s="6"/>
      <c r="E16" s="3"/>
      <c r="F16" s="6"/>
      <c r="G16" s="3"/>
      <c r="I16" s="7"/>
    </row>
    <row r="17" spans="1:9" x14ac:dyDescent="0.25">
      <c r="B17" s="4"/>
      <c r="C17" s="3"/>
      <c r="D17" s="6"/>
      <c r="E17" s="3"/>
      <c r="F17" s="6"/>
      <c r="G17" s="3"/>
      <c r="I17" s="7"/>
    </row>
    <row r="18" spans="1:9" x14ac:dyDescent="0.25">
      <c r="A18" t="s">
        <v>12</v>
      </c>
      <c r="B18" s="4">
        <v>1.772E-2</v>
      </c>
      <c r="C18" s="3">
        <v>9309</v>
      </c>
      <c r="D18" s="6">
        <v>1.7639999999999999E-2</v>
      </c>
      <c r="E18" s="3">
        <v>9468</v>
      </c>
      <c r="F18" s="6">
        <v>1.7639999999999999E-2</v>
      </c>
      <c r="G18" s="3">
        <v>9694</v>
      </c>
      <c r="I18" s="7"/>
    </row>
    <row r="19" spans="1:9" x14ac:dyDescent="0.25">
      <c r="A19" t="s">
        <v>13</v>
      </c>
      <c r="B19" s="6">
        <v>0.28316999999999998</v>
      </c>
      <c r="C19" s="3">
        <v>20108</v>
      </c>
      <c r="D19" s="6">
        <v>0.28064</v>
      </c>
      <c r="E19" s="3">
        <v>20450</v>
      </c>
      <c r="F19" s="6">
        <v>0.28711999999999999</v>
      </c>
      <c r="G19" s="3">
        <v>20940</v>
      </c>
      <c r="I19" s="7" t="s">
        <v>20</v>
      </c>
    </row>
    <row r="20" spans="1:9" x14ac:dyDescent="0.25">
      <c r="A20" t="s">
        <v>14</v>
      </c>
      <c r="B20" s="8">
        <v>3223</v>
      </c>
      <c r="C20" s="3">
        <v>32444</v>
      </c>
      <c r="D20" s="3">
        <v>3249</v>
      </c>
      <c r="E20" s="3">
        <v>33112</v>
      </c>
      <c r="F20" s="3">
        <v>3399</v>
      </c>
      <c r="G20" s="3">
        <v>34060</v>
      </c>
      <c r="I20" s="7"/>
    </row>
    <row r="21" spans="1:9" x14ac:dyDescent="0.25">
      <c r="A21" t="s">
        <v>15</v>
      </c>
      <c r="B21" s="4">
        <v>3.5999999999999997E-2</v>
      </c>
      <c r="C21" s="3">
        <v>121972</v>
      </c>
      <c r="D21" s="6">
        <v>3.5999999999999997E-2</v>
      </c>
      <c r="E21" s="3">
        <v>123362</v>
      </c>
      <c r="F21" s="6">
        <v>0.06</v>
      </c>
      <c r="G21" s="3">
        <v>90710</v>
      </c>
      <c r="I21" s="7" t="s">
        <v>21</v>
      </c>
    </row>
    <row r="22" spans="1:9" x14ac:dyDescent="0.25">
      <c r="A22" t="s">
        <v>16</v>
      </c>
      <c r="B22" s="4"/>
      <c r="D22" s="6"/>
      <c r="F22" s="6"/>
      <c r="H22" s="7"/>
    </row>
    <row r="23" spans="1:9" x14ac:dyDescent="0.25">
      <c r="B23" s="3"/>
      <c r="D23" s="3"/>
      <c r="F23" s="3"/>
    </row>
    <row r="24" spans="1:9" x14ac:dyDescent="0.25">
      <c r="A24" t="s">
        <v>53</v>
      </c>
      <c r="B24" s="3">
        <v>46</v>
      </c>
      <c r="C24" s="3"/>
      <c r="D24" s="3">
        <v>47</v>
      </c>
      <c r="E24" s="3"/>
      <c r="F24" s="3">
        <v>47</v>
      </c>
      <c r="G24" s="3"/>
    </row>
    <row r="25" spans="1:9" x14ac:dyDescent="0.25">
      <c r="A25" t="s">
        <v>54</v>
      </c>
      <c r="B25" s="3">
        <v>15</v>
      </c>
      <c r="C25" s="3"/>
      <c r="D25" s="3">
        <v>15</v>
      </c>
      <c r="E25" s="3"/>
      <c r="F25" s="3">
        <v>15</v>
      </c>
      <c r="G25" s="3"/>
    </row>
  </sheetData>
  <sheetProtection sheet="1" objects="1" scenarios="1" selectLockedCells="1"/>
  <mergeCells count="3">
    <mergeCell ref="B1:C1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abSelected="1" workbookViewId="0">
      <selection activeCell="B9" sqref="B9"/>
    </sheetView>
  </sheetViews>
  <sheetFormatPr defaultRowHeight="15" x14ac:dyDescent="0.25"/>
  <cols>
    <col min="1" max="1" width="30" bestFit="1" customWidth="1"/>
    <col min="2" max="3" width="12.42578125" bestFit="1" customWidth="1"/>
    <col min="4" max="4" width="11.42578125" bestFit="1" customWidth="1"/>
    <col min="5" max="5" width="12.42578125" bestFit="1" customWidth="1"/>
    <col min="6" max="6" width="11.42578125" bestFit="1" customWidth="1"/>
    <col min="7" max="7" width="12.42578125" bestFit="1" customWidth="1"/>
  </cols>
  <sheetData>
    <row r="1" spans="1:7" x14ac:dyDescent="0.25">
      <c r="B1" s="62">
        <v>2017</v>
      </c>
      <c r="C1" s="62"/>
      <c r="D1" s="62">
        <v>2018</v>
      </c>
      <c r="E1" s="62"/>
      <c r="F1" s="62">
        <v>2019</v>
      </c>
      <c r="G1" s="62"/>
    </row>
    <row r="2" spans="1:7" x14ac:dyDescent="0.25">
      <c r="A2" t="s">
        <v>25</v>
      </c>
      <c r="B2" s="1">
        <v>0.2</v>
      </c>
      <c r="C2" s="3">
        <v>200000</v>
      </c>
      <c r="D2" s="1">
        <v>0.2</v>
      </c>
      <c r="E2" s="3">
        <v>200000</v>
      </c>
      <c r="F2" s="1">
        <v>0.2</v>
      </c>
      <c r="G2" s="3">
        <v>200000</v>
      </c>
    </row>
    <row r="3" spans="1:7" x14ac:dyDescent="0.25">
      <c r="A3" t="s">
        <v>26</v>
      </c>
      <c r="B3" s="1">
        <v>0.25</v>
      </c>
      <c r="C3" s="3"/>
      <c r="D3" s="1">
        <v>0.25</v>
      </c>
      <c r="E3" s="3"/>
      <c r="F3" s="1">
        <v>0.25</v>
      </c>
      <c r="G3" s="3"/>
    </row>
    <row r="5" spans="1:7" x14ac:dyDescent="0.25">
      <c r="A5" t="s">
        <v>30</v>
      </c>
      <c r="B5" s="2">
        <v>0.25</v>
      </c>
      <c r="D5" s="2">
        <v>0.25</v>
      </c>
      <c r="F5" s="2">
        <v>0.25</v>
      </c>
    </row>
    <row r="6" spans="1:7" x14ac:dyDescent="0.25">
      <c r="B6" s="2"/>
      <c r="D6" s="2"/>
      <c r="F6" s="2"/>
    </row>
    <row r="7" spans="1:7" x14ac:dyDescent="0.25">
      <c r="A7" t="s">
        <v>27</v>
      </c>
      <c r="B7" s="2">
        <v>0.25</v>
      </c>
      <c r="D7" s="2">
        <v>0.25</v>
      </c>
      <c r="F7" s="2">
        <v>0.25</v>
      </c>
    </row>
    <row r="9" spans="1:7" x14ac:dyDescent="0.25">
      <c r="A9" t="s">
        <v>29</v>
      </c>
      <c r="B9" s="3">
        <v>45000</v>
      </c>
      <c r="D9" s="3">
        <v>45000</v>
      </c>
      <c r="F9" s="3">
        <v>45000</v>
      </c>
    </row>
  </sheetData>
  <sheetProtection sheet="1" selectLockedCells="1"/>
  <mergeCells count="3"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21</vt:i4>
      </vt:variant>
    </vt:vector>
  </HeadingPairs>
  <TitlesOfParts>
    <vt:vector size="29" baseType="lpstr">
      <vt:lpstr>belastingdruk</vt:lpstr>
      <vt:lpstr>belasting eenmanszaak</vt:lpstr>
      <vt:lpstr>belasting bv 1</vt:lpstr>
      <vt:lpstr>belasting bv 2</vt:lpstr>
      <vt:lpstr>belasting bv 3</vt:lpstr>
      <vt:lpstr>belasting bv 4</vt:lpstr>
      <vt:lpstr>eenmanszaak tarieven</vt:lpstr>
      <vt:lpstr>bv tarieven</vt:lpstr>
      <vt:lpstr>DGA_2017</vt:lpstr>
      <vt:lpstr>DGA_2018</vt:lpstr>
      <vt:lpstr>DGA_2019</vt:lpstr>
      <vt:lpstr>DGA_salaris</vt:lpstr>
      <vt:lpstr>FOR_max_2017</vt:lpstr>
      <vt:lpstr>FOR_max_2018</vt:lpstr>
      <vt:lpstr>FOR_max_2019</vt:lpstr>
      <vt:lpstr>Nihil_2017</vt:lpstr>
      <vt:lpstr>Nihil_2018</vt:lpstr>
      <vt:lpstr>Nihil_2019</vt:lpstr>
      <vt:lpstr>personen</vt:lpstr>
      <vt:lpstr>tabel_aftrek</vt:lpstr>
      <vt:lpstr>tabel_arbeidskorting</vt:lpstr>
      <vt:lpstr>tabel_dividend</vt:lpstr>
      <vt:lpstr>tabel_hefkorting</vt:lpstr>
      <vt:lpstr>tabel_inkomsten</vt:lpstr>
      <vt:lpstr>tabel_latent</vt:lpstr>
      <vt:lpstr>tabel_vennoot</vt:lpstr>
      <vt:lpstr>tabel_verzekering</vt:lpstr>
      <vt:lpstr>Te_betalen_belasting__totaal</vt:lpstr>
      <vt:lpstr>winst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Joepje</dc:creator>
  <cp:lastModifiedBy>Joep van de Laarschot</cp:lastModifiedBy>
  <dcterms:created xsi:type="dcterms:W3CDTF">2018-01-02T15:49:25Z</dcterms:created>
  <dcterms:modified xsi:type="dcterms:W3CDTF">2021-01-28T12:34:51Z</dcterms:modified>
</cp:coreProperties>
</file>